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80" yWindow="885" windowWidth="12105" windowHeight="6450" tabRatio="850" activeTab="4"/>
  </bookViews>
  <sheets>
    <sheet name="รายรับ" sheetId="1" r:id="rId1"/>
    <sheet name="รายจ่าย" sheetId="2" r:id="rId2"/>
    <sheet name="บันทึก" sheetId="3" r:id="rId3"/>
    <sheet name="เงินรับฝาก หมายเลข 2" sheetId="4" r:id="rId4"/>
    <sheet name="งบทดลอง" sheetId="5" r:id="rId5"/>
    <sheet name="งบรับจริง" sheetId="6" r:id="rId6"/>
    <sheet name="Sheet2" sheetId="7" r:id="rId7"/>
    <sheet name="งบกระทบ" sheetId="8" r:id="rId8"/>
    <sheet name="เงินสดและเงินฝากธนาคาร (2)" sheetId="9" r:id="rId9"/>
    <sheet name="งบทดลอง  (หลังปิดบัญชี)" sheetId="10" r:id="rId10"/>
  </sheets>
  <externalReferences>
    <externalReference r:id="rId13"/>
  </externalReferences>
  <definedNames/>
  <calcPr fullCalcOnLoad="1"/>
</workbook>
</file>

<file path=xl/comments2.xml><?xml version="1.0" encoding="utf-8"?>
<comments xmlns="http://schemas.openxmlformats.org/spreadsheetml/2006/main">
  <authors>
    <author>gov</author>
  </authors>
  <commentList>
    <comment ref="A26" authorId="0">
      <text>
        <r>
          <rPr>
            <b/>
            <sz val="8"/>
            <rFont val="Tahoma"/>
            <family val="2"/>
          </rPr>
          <t>gov: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<sst xmlns="http://schemas.openxmlformats.org/spreadsheetml/2006/main" count="722" uniqueCount="467">
  <si>
    <t>รหัส</t>
  </si>
  <si>
    <t>บัญชี</t>
  </si>
  <si>
    <t>เดือนนี้เกิดขึ้นจริง</t>
  </si>
  <si>
    <t>(บาท)</t>
  </si>
  <si>
    <t>ประมาณการ</t>
  </si>
  <si>
    <t xml:space="preserve">เกิดขึ้นจริง      </t>
  </si>
  <si>
    <t xml:space="preserve"> </t>
  </si>
  <si>
    <t>-</t>
  </si>
  <si>
    <t>รายรับ (หมายเหตุ 1)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</si>
  <si>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</si>
  <si>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</si>
  <si>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</si>
  <si>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</si>
  <si>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</si>
  <si>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</t>
  </si>
  <si>
    <t>อุดหนุนเบี้ยยังชีพ</t>
  </si>
  <si>
    <t>เงินรับฝาก (หมายเหตุ 2)</t>
  </si>
  <si>
    <t>ประปา</t>
  </si>
  <si>
    <t xml:space="preserve">   รายการ</t>
  </si>
  <si>
    <t xml:space="preserve">    รายงาน  รับ  -  จ่าย   เงินสด</t>
  </si>
  <si>
    <t xml:space="preserve">                          </t>
  </si>
  <si>
    <t>เกิดขึ้นจริง</t>
  </si>
  <si>
    <t>บาท</t>
  </si>
  <si>
    <t xml:space="preserve">  ประมาณการ</t>
  </si>
  <si>
    <t xml:space="preserve">เกิดขึ้นจริง 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</si>
  <si>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</si>
  <si>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</si>
  <si>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</si>
  <si>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</si>
  <si>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</si>
  <si>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</si>
  <si>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</si>
  <si>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</si>
  <si>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</si>
  <si>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</si>
  <si>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</si>
  <si>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</si>
  <si>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ลูกหนี้เงินยืมเงินงบประมาณ</t>
  </si>
  <si>
    <t>รายจ่ายค้างจ่าย (หมายเหตุ 3)</t>
  </si>
  <si>
    <t>เงินฝาก  ก.ส.ท.</t>
  </si>
  <si>
    <t>ลูกหนี้เงินยืมสะสม</t>
  </si>
  <si>
    <t>เงินถ่ายโอนค้างจ่าย</t>
  </si>
  <si>
    <t>ถ่ายโอนอาหารกลางวัน</t>
  </si>
  <si>
    <t>ถ่ายโอนอาหารเสริม (นม)</t>
  </si>
  <si>
    <t>ดอกผลเงินถ่ายโอน</t>
  </si>
  <si>
    <t>เบิกตัดปี</t>
  </si>
  <si>
    <t xml:space="preserve"> -</t>
  </si>
  <si>
    <t xml:space="preserve">                  รายรับ       ต่ำ / สูง      รายจ่าย              +</t>
  </si>
  <si>
    <t xml:space="preserve">                                  ยอดยกไป</t>
  </si>
  <si>
    <t xml:space="preserve">                          +</t>
  </si>
  <si>
    <t>รวม</t>
  </si>
  <si>
    <t>รหัสบัญชี</t>
  </si>
  <si>
    <t xml:space="preserve">            รายการ</t>
  </si>
  <si>
    <t>หมวดภาษีอากร</t>
  </si>
  <si>
    <t>หมวดรายได้จากทรัพย์สิน</t>
  </si>
  <si>
    <t>หมวดรายได้เบ็ดเตล็ด</t>
  </si>
  <si>
    <t>หมวดรายได้จากทุน</t>
  </si>
  <si>
    <t>หมวดเงินอุดหนุน</t>
  </si>
  <si>
    <t>จนถึงปัจจุบัน</t>
  </si>
  <si>
    <t>000</t>
  </si>
  <si>
    <t xml:space="preserve"> จนถึงปัจจุบัน</t>
  </si>
  <si>
    <t>งบกระทบยอดเงินฝากธนาคาร</t>
  </si>
  <si>
    <t>เลขที่บัญชี</t>
  </si>
  <si>
    <t>วันที่</t>
  </si>
  <si>
    <t>เลขที่เช็ค</t>
  </si>
  <si>
    <t>จำนวนเงิน</t>
  </si>
  <si>
    <t>ผู้จัดทำ</t>
  </si>
  <si>
    <t>ผู้ตรวจสอบ</t>
  </si>
  <si>
    <t>(ลงชื่อ)………………………………..</t>
  </si>
  <si>
    <t>รายการ</t>
  </si>
  <si>
    <t>รวมรายจ่าย</t>
  </si>
  <si>
    <t>ยอดยกไป</t>
  </si>
  <si>
    <t xml:space="preserve">เดือนนี้ </t>
  </si>
  <si>
    <t>จึงเรียนมาเพื่อโปรดทราบและพิจารณา</t>
  </si>
  <si>
    <t>เรื่อง</t>
  </si>
  <si>
    <t xml:space="preserve">       บันทึกข้อความ</t>
  </si>
  <si>
    <t>รับ</t>
  </si>
  <si>
    <t>จ่าย</t>
  </si>
  <si>
    <t>คงเหลือ</t>
  </si>
  <si>
    <t xml:space="preserve">                                                            </t>
  </si>
  <si>
    <t>รายจ่ายอื่น ๆ</t>
  </si>
  <si>
    <t>จ่ายจริง</t>
  </si>
  <si>
    <t>022</t>
  </si>
  <si>
    <t>023</t>
  </si>
  <si>
    <t>021</t>
  </si>
  <si>
    <t>100</t>
  </si>
  <si>
    <t>120</t>
  </si>
  <si>
    <t>130</t>
  </si>
  <si>
    <t>200</t>
  </si>
  <si>
    <t>250</t>
  </si>
  <si>
    <t>270</t>
  </si>
  <si>
    <t>300</t>
  </si>
  <si>
    <t>550</t>
  </si>
  <si>
    <t>821</t>
  </si>
  <si>
    <t>600</t>
  </si>
  <si>
    <t>700</t>
  </si>
  <si>
    <t>900</t>
  </si>
  <si>
    <t>703</t>
  </si>
  <si>
    <t xml:space="preserve">                   เดบิต                  </t>
  </si>
  <si>
    <t>เงินฝากกองทุนสงเคราะห์ส่งเสริมกิจการเทศบาล (ก.ส.ท.)</t>
  </si>
  <si>
    <t>ถึงเดือนนี้</t>
  </si>
  <si>
    <t>500</t>
  </si>
  <si>
    <t>เครดิต</t>
  </si>
  <si>
    <t xml:space="preserve">      รวมรายรับ</t>
  </si>
  <si>
    <t>ยอดยกมา</t>
  </si>
  <si>
    <t>400</t>
  </si>
  <si>
    <t>450</t>
  </si>
  <si>
    <t>วันที่ลงบัญชี</t>
  </si>
  <si>
    <t>วันที่ฝากธนาคาร</t>
  </si>
  <si>
    <t>010</t>
  </si>
  <si>
    <t>เทศบาลตำบลนาหนองทุ่ม</t>
  </si>
  <si>
    <t>604</t>
  </si>
  <si>
    <t>701</t>
  </si>
  <si>
    <t xml:space="preserve">รายจ่ายอื่น ๆ </t>
  </si>
  <si>
    <t>รวมรับจริงสูงกว่าจ่ายจริง</t>
  </si>
  <si>
    <t xml:space="preserve">                                </t>
  </si>
  <si>
    <t xml:space="preserve">รายละเอียดประกอบงบแสดงฐานะทางการเงิน </t>
  </si>
  <si>
    <t>1.  เงินฝากธนาคารเพื่อการเกษตรและสหกรณ์  (ประจำ)  412-2-10401-1</t>
  </si>
  <si>
    <t>2.  เงินฝากธนาคารเพื่อการเกษตรและสหกรณ์ (ออมทรัพย์) 412-2-01907-8</t>
  </si>
  <si>
    <t xml:space="preserve">                     เงินฝากธนาคาร  (หมายเหตุ  2)</t>
  </si>
  <si>
    <t>เงินทุนสำรองเงินสะสม</t>
  </si>
  <si>
    <t>รายได้จากทุน</t>
  </si>
  <si>
    <t>เงินสด</t>
  </si>
  <si>
    <t xml:space="preserve">               (นายวิจิตร     ป้องขันธ์)</t>
  </si>
  <si>
    <t>ธนาคารออมสิน  สาขาแก้งคร้อ</t>
  </si>
  <si>
    <t>เช็คจ่ายท่ผู้รับยังไม่นำขึ้นเงินกับธนาคาร</t>
  </si>
  <si>
    <t>เช็คจ่ายที่ผู้รับยังไม่นำขึ้นเงินกับธนาคาร</t>
  </si>
  <si>
    <t>307-6-06166-6</t>
  </si>
  <si>
    <t>+</t>
  </si>
  <si>
    <t xml:space="preserve">              (นางจิราภรณ์    แสงเดือน)</t>
  </si>
  <si>
    <t>4.  เงินฝากธนาคารกรุงไทยจำกัด (มหาชน) กระแสรายวัน เลขที่ 06166-6</t>
  </si>
  <si>
    <t>ธนาคารกรุงไทย  จำกัด (มหาชน) สาขาชัยภูมิ กระแสรายวัน</t>
  </si>
  <si>
    <t xml:space="preserve">              ตำแหน่ง  เจ้าพนักงานพัสดุ</t>
  </si>
  <si>
    <t>3.  เงินฝากธนาคารกรุงไทยจำกัด  (มหาชน)  ออมทรัพย์  เลขที่  307-1-45062-1</t>
  </si>
  <si>
    <t>5.  เงินฝากธนาคารออมสิน  ออมทรัพย์  05-376011173-1</t>
  </si>
  <si>
    <t>หมวดรายได้จากสาธารณูปโภคและการพาณิชย์</t>
  </si>
  <si>
    <t>เจ้าหนี้เงินกู้  (กสท.)</t>
  </si>
  <si>
    <t>ธนาคารเพื่อการเกษตรและสหกรณ์สาขาแก้งคร้อ ออมทรัพย์</t>
  </si>
  <si>
    <t>05-376011173-1</t>
  </si>
  <si>
    <t xml:space="preserve">               ตำแหน่ง   ผู้อำนวยการกองคลัง </t>
  </si>
  <si>
    <t>ทรัพย์สินเกิดจากเงินกู้ กสท.</t>
  </si>
  <si>
    <t>ผู้อำนวยการกองคลังเทศบาลตำบลนาหนองทุ่ม</t>
  </si>
  <si>
    <t>ธนาคารกรุงไทย  จำกัด (มหาชน) สาขาชัยภูมิ ออมทรัพย์</t>
  </si>
  <si>
    <t>307-1-45062-1</t>
  </si>
  <si>
    <t xml:space="preserve">             วันที่   30   มิถุนายน   2556</t>
  </si>
  <si>
    <t xml:space="preserve">               วันที่    30   มิถุนายน   2556</t>
  </si>
  <si>
    <t>K 0587785</t>
  </si>
  <si>
    <t xml:space="preserve">       ตำแหน่ง   นักวิชาการเงินและบัญชี</t>
  </si>
  <si>
    <t xml:space="preserve">               (นางจรรยาภรณ์   เกตุสุรินทร์)</t>
  </si>
  <si>
    <t xml:space="preserve">             วันที่    5   กรกฎาคม   2556</t>
  </si>
  <si>
    <t xml:space="preserve">               วันที่    5  กรกฎาคม    2556</t>
  </si>
  <si>
    <t xml:space="preserve">              ตำแหน่ง นักวิชาการเงินและบัญชี</t>
  </si>
  <si>
    <t xml:space="preserve">         ตำแหน่ง   ผู้อำนวยการกองคลัง </t>
  </si>
  <si>
    <t xml:space="preserve">               (นางจรรยาภรณ์  เกตุสุรินทร์)</t>
  </si>
  <si>
    <t>800</t>
  </si>
  <si>
    <t>516</t>
  </si>
  <si>
    <t>งบทดลอง  -  หลังปิดบัญชี</t>
  </si>
  <si>
    <t xml:space="preserve">     ผู้อำนวยการกองคลัง           ปลัดเทศบาลตำบลนาหนองทุ่ม              นายกเทศมนตรีตำบลนาหนองทุ่ม</t>
  </si>
  <si>
    <t xml:space="preserve">รายรับ </t>
  </si>
  <si>
    <t>รายรับ  (หมายเหตุ  1)</t>
  </si>
  <si>
    <t>เงินรับฝาก  (หมายเหตุ  2)</t>
  </si>
  <si>
    <t xml:space="preserve">                   -  ออมสิน  ออมทรัพย์  05-376011173-1</t>
  </si>
  <si>
    <t>เงินฝากธนาคาร - ธกส. ออมทรัพย์  412-2-01907-8</t>
  </si>
  <si>
    <t xml:space="preserve">                   -  ธกส. ประจำ  412-2-10401-1</t>
  </si>
  <si>
    <t xml:space="preserve">                   -  กรุงไทยจำกัด  ออมทรัพย์ 307-1-45062-1</t>
  </si>
  <si>
    <t xml:space="preserve">                   -  กรุงไทยจำกัด กระแสรายวัน  307-06166-6</t>
  </si>
  <si>
    <t xml:space="preserve">เงินรับฝาก </t>
  </si>
  <si>
    <t xml:space="preserve">  (หมายเหตุ  2)</t>
  </si>
  <si>
    <t>รายรับจริงประกอบงบทดลองและรายรับ - จ่ายเงินสด</t>
  </si>
  <si>
    <t>รายได้จัดเก็บ</t>
  </si>
  <si>
    <t>(1)  ภาษีโรงเรือนและที่ดิน</t>
  </si>
  <si>
    <t>(2)  ภาษีบำรุงท้องที่</t>
  </si>
  <si>
    <t>(3)  ภาษีป้าย</t>
  </si>
  <si>
    <t>(4)  อากรการฆ่าสัตว์</t>
  </si>
  <si>
    <t xml:space="preserve"> -   </t>
  </si>
  <si>
    <t>(5)  ภาษีบำรุง  อบจ. จากสถานค้าปลีกยาสูบ</t>
  </si>
  <si>
    <t>(6)  ภาษีบำรุง  อบจ.จากสถานค้าปลีกน้ำมัน</t>
  </si>
  <si>
    <t>หมวดค่าธรรมเนียมค่าปรับและค่าใบอนุญาต</t>
  </si>
  <si>
    <t>(1)  ค่าธรรมเนียมเกี่ยวกับควบคุมการฆ่าสัตว์และจำหน่ายเนื้อสัตว์</t>
  </si>
  <si>
    <t>(5)  ค่าธรรมเนียมเกี่ยวกับควบคุมอาคาร</t>
  </si>
  <si>
    <t>(6)  ค่าธรรมเนียมเก็บและขนมูลฝอย</t>
  </si>
  <si>
    <t>(8)  ค่าธรรมเนียมในการออกหนังสือรับรองการแจ้งการจัดตั้ง</t>
  </si>
  <si>
    <t>สถานที่จำหน่ายอาหารพื้นที่ไม่เกิน  200  ตร.ม.</t>
  </si>
  <si>
    <t>(9)  ค่าธรรมเนียมเกี่ยวกับสุสานและฌาปนสถาน</t>
  </si>
  <si>
    <t>(10)  ค่าธรรมเนียมปิด ติดตั้ง แผ่นป้ายประกาศหรือเขียนข้อ</t>
  </si>
  <si>
    <t>ความหรือภาพหรือโปรยแผ่นประกาศเพื่อโฆษณา</t>
  </si>
  <si>
    <t>(11)  ค่าธรรมเนียมเกี่ยวกับการทะเบียนราษฏร</t>
  </si>
  <si>
    <t>(12)  ค่าธรรมเนียมเกี่ยวกับบัตรประจำตัวประชาชน</t>
  </si>
  <si>
    <t>(13)  ค่าธรรมเนียมเกี่ยวกับโรคพิษสุนัขบ้า</t>
  </si>
  <si>
    <t>(14)  ค่าธรรมเนียมเกี่ยวกับการส่วนเสริมและรักษาคุณภาพสิ่ง</t>
  </si>
  <si>
    <t>แวดล้อมแห่งชาติ</t>
  </si>
  <si>
    <t>(15)  ค่าธรรมเนียมบำรุง  อบจ.  จากผู้เข้าพักในโรงแรม</t>
  </si>
  <si>
    <t>(16)  ค่าปรับผู้กระทำความผิดกฏหมายการจัดระเบียบจอดยานยนต์</t>
  </si>
  <si>
    <t>(17)  ค่าปรับผู้กระทำความผิดกฏหมายจราจรทางบก</t>
  </si>
  <si>
    <t>(19)  ค่าปรับผู้กระทำความผิดกฏหมายและข้อบัญญัติท้องถิ่น</t>
  </si>
  <si>
    <t>(20)  ค่าปรับการผิดสัญญา</t>
  </si>
  <si>
    <t xml:space="preserve">(21)  ค่าปรับอื่น ๆ </t>
  </si>
  <si>
    <t>(24)  ค่าใบอนุญาตจัดตั้งสถานที่จำหน่ายอาหารหรือสถานที่</t>
  </si>
  <si>
    <t>สะสมอาหารในอาคารพื้นที่ไม่เกิน  200  ตร.ม.</t>
  </si>
  <si>
    <t>(25)  ค่าใบอนุญาตจำหน่ายสินค้าในที่หรือทางสาธารณะ</t>
  </si>
  <si>
    <t>(26)  ค่าใบอนุญาตเกี่ยวกับการควบคุมอาคาร</t>
  </si>
  <si>
    <t>(27)  ค่าใบอนุญาตเกี่ยวกับการโฆษณาโดยใช้เครื่องขยายเสียง</t>
  </si>
  <si>
    <t>(29)  ค่าใบอนุญาติกิจการที่เป็นอันตรายต่อสุขภาพ</t>
  </si>
  <si>
    <t>(29) ค่าใบอนุญาติให้ใช้สถานที่แต่งผม</t>
  </si>
  <si>
    <t>(30) ค่าใบอนุญาติรับจ้างแต่งผม</t>
  </si>
  <si>
    <t>(1)  ค่าเช่าที่ดิน</t>
  </si>
  <si>
    <t>(2)  ค่าเช่าหรือค่าบริการสถานที่</t>
  </si>
  <si>
    <t>(3)  ดอกเบี้ย</t>
  </si>
  <si>
    <t>(1)  เงินช่วยเหลือท้องถิ่นจากกิจการเฉพาะการ</t>
  </si>
  <si>
    <t>(2)  เงินสะสมจากการโอนกิจการสาธารณูปหรือการพาณิชย์</t>
  </si>
  <si>
    <t>(3)  รายได้จากสาธารณูปโภคและการพาณิชย์</t>
  </si>
  <si>
    <t>(1)  เงินที่มีผู้อุทิศให้</t>
  </si>
  <si>
    <t>(2)  ค่าขายแบบแปลน</t>
  </si>
  <si>
    <t>(3)  ค่าเขียนแบบแปลน</t>
  </si>
  <si>
    <t>(4)  ค่าจำหน่ายแบบพิมพ์และคำร้อง</t>
  </si>
  <si>
    <t>(5)  ค่ารับรองสำเนาและถ่ายเอกสาร</t>
  </si>
  <si>
    <t>(6)  ค่าสมัครสมาชิกห้องสมุด</t>
  </si>
  <si>
    <t xml:space="preserve">(7)  รายได้เบ็ดเตล็ดอื่น ๆ </t>
  </si>
  <si>
    <t>(1)  ค่าขายทอดตลาดทรัพย์สิน</t>
  </si>
  <si>
    <t>หมวดรายได้ที่รัฐบาลเก็บแล้วจัดสรรให้องค์กรปกครองส่วนท้องถิ่น</t>
  </si>
  <si>
    <t>หมวดภาษีจัดสรร</t>
  </si>
  <si>
    <t>(1)  ภาษีและค่าธรรมเนียมรถยนต์หรือล้อเลื่อน</t>
  </si>
  <si>
    <t>(3)  ภาษีมูลค่าเพิ่ม ตาม  พรบ.แผนฯ</t>
  </si>
  <si>
    <t>(4)  ภาษีธุรกิจเฉพาะ</t>
  </si>
  <si>
    <t>(5)  ภาษีสุรา</t>
  </si>
  <si>
    <t>(6)  ภาษีสรรพสามิต</t>
  </si>
  <si>
    <t>(7)  ภาษีการพนัน</t>
  </si>
  <si>
    <t>(8)  แสตมป์ยาสูบ</t>
  </si>
  <si>
    <t>รายได้ที่รัฐบาลอุดหนุนให้องค์การปกครองส่วนท้องถิ่น</t>
  </si>
  <si>
    <t>(4)  เงินอุดหนุนอาหารเสริมนม</t>
  </si>
  <si>
    <t>(5)  เงินอุดหนุนอาหารกลางวัน</t>
  </si>
  <si>
    <t>(8)  เงินอุดหนุนเบี้ยยังชีพผู้ป่วยเอดส์</t>
  </si>
  <si>
    <t>(9)  เงินอุดหนุน  อสม. สาธารณสุขมูลฐาน</t>
  </si>
  <si>
    <t>(10)  เงินอุดหนุนส่งเสริมศักยภาพการศึกษา</t>
  </si>
  <si>
    <t>รายได้ที่รัฐบาลให้โดยระบุวัตถุประสงค์</t>
  </si>
  <si>
    <t>(1)  ค่าตอบแทนใช้สอยและวัสดุ</t>
  </si>
  <si>
    <t>(2)  เบี้ยยังชีพผู้สูงอายุ</t>
  </si>
  <si>
    <t>(3)  เบี้ยยังชีพผู้พิการ</t>
  </si>
  <si>
    <t>(5)  เงินเดือนครูผู้ดูแลเด็ก</t>
  </si>
  <si>
    <t>(6)  ค่าตอบแทนผู้ดูแลเด็ก</t>
  </si>
  <si>
    <t>รวมรับทั้งสิ้น</t>
  </si>
  <si>
    <t xml:space="preserve"> รับจริงเดือนนี้</t>
  </si>
  <si>
    <t>รับตั้งแต่ตั้นปี</t>
  </si>
  <si>
    <t>(18)  ค่าปรับผู้กระทำความผิดกฏหมายการป้องกันและระงับอัคคีภัย</t>
  </si>
  <si>
    <t>รายละเอียด  ประกอบงบทดลองรายงานรับ - จ่ายเงินสด</t>
  </si>
  <si>
    <t xml:space="preserve"> เงินอุดหนุนสถาบันครอบครัว</t>
  </si>
  <si>
    <t xml:space="preserve"> ประกันสัญญา</t>
  </si>
  <si>
    <t>(8)  ค่าจัดการเรียนการสอนรายหัว</t>
  </si>
  <si>
    <t>(9)  ค่าอุปกรณ์การเรียนการสอน</t>
  </si>
  <si>
    <t>(10) ค่ากิจกรรมพัฒนาคุณภาพผู้เรียน</t>
  </si>
  <si>
    <t xml:space="preserve">รายงาน   งบรายรับ – รายจ่าย   งบกระแสเงินสด    </t>
  </si>
  <si>
    <t>งานการเงินและบัญชี  กองคลัง  ได้จัดทำ  งบรายรับ  –  รายจ่าย  งบกระแสเงินสด  งบรายรับจริงประกอบ</t>
  </si>
  <si>
    <t xml:space="preserve">เพื่อประกอบในการใช้จ่ายงบประมาณ  รายละเอียดตามเอกสารที่นำเรียนมาพร้อมนี้ </t>
  </si>
  <si>
    <t>(11) ค่าเล่าเรียนบุตร</t>
  </si>
  <si>
    <t>(12) เงินประกันสังคม</t>
  </si>
  <si>
    <t>(13) ค่าเครื่องแบบนักเรียน</t>
  </si>
  <si>
    <t>(14) ค่าหนังสือเรียน</t>
  </si>
  <si>
    <t xml:space="preserve">                 นักวิชาการเงินและบัญชี </t>
  </si>
  <si>
    <t>(15)  อุดหนุนค่าบำบัดยาเสพติด</t>
  </si>
  <si>
    <t>(16)  อุดหนุนฝึกอาชีพยาเสพติด</t>
  </si>
  <si>
    <t>(17)  ค่ารักษาพยาบาล</t>
  </si>
  <si>
    <t>เงินอุดหนุนเฉพาะกิจค้างจ่าย  57</t>
  </si>
  <si>
    <t>602</t>
  </si>
  <si>
    <t>งบทดลอง</t>
  </si>
  <si>
    <t>(6)  เงินอุดหนุนส่งเสริมศักยภาพจัดการศึกษา</t>
  </si>
  <si>
    <t xml:space="preserve">(7)  ค่าจัดการเรียนการสอน </t>
  </si>
  <si>
    <t>หมวดเงินอุดหนุนทั่วไประบุวัตถุประสงค์</t>
  </si>
  <si>
    <t xml:space="preserve">เงินอุดหนุนเฉพาะกิจ </t>
  </si>
  <si>
    <t>รายได้ที่รัฐบาลให้</t>
  </si>
  <si>
    <t>หมวดเงินอุดหนุนเฉพาะกิจ</t>
  </si>
  <si>
    <t>(1)  ทุนการศึกษา ผดด)</t>
  </si>
  <si>
    <t>(17)  โครงการซ่อมแซมที่อยู่อาศัยผู้สูงอายุและคนพิการ</t>
  </si>
  <si>
    <t>(2) โครงการก่อสร้างถนนแอสฟัลติก หมู่ที่  7,13,16</t>
  </si>
  <si>
    <t>(3) สนับสนุนศูนย์ฯ ปี  57 เงินชดเชยเงินเดือนแรกบรรจุใหม่</t>
  </si>
  <si>
    <t>(4) โครงการจัดหาครุภัณฑ์คอมพิวเตอร์  โน๊ตบุ๊ก</t>
  </si>
  <si>
    <t xml:space="preserve">รายจ่ายค้างจ่าย  ปี  58  </t>
  </si>
  <si>
    <t>รายจ่ายรอจ่าย  58</t>
  </si>
  <si>
    <t xml:space="preserve">      </t>
  </si>
  <si>
    <t>ณ   วันที่   30  กันยายน    2558</t>
  </si>
  <si>
    <t xml:space="preserve">             วันที่    30   กันยายน  2558</t>
  </si>
  <si>
    <t xml:space="preserve">               วันที่    30   กันยายน    2558</t>
  </si>
  <si>
    <t xml:space="preserve">  (นางจรรยาภรณ์  เกตุสุรินทร์)       (นายฐานะ  มาศขุนทด)                      (นายอุดม   บำรุงเขต)</t>
  </si>
  <si>
    <t>(22) ค่าใบอนุญาตรับทำการเก็บ ขน หือกำจัด สิ่งปฏิกูลหรือมูลฝอย</t>
  </si>
  <si>
    <t xml:space="preserve">  องค์การบริหารส่วนตำบลนาหนองทุ่ม</t>
  </si>
  <si>
    <t>เงินอุดหนุนทั่วไป</t>
  </si>
  <si>
    <t>ระบุวัตถุประสงค์</t>
  </si>
  <si>
    <t>เงินอุดหนุนระบุ</t>
  </si>
  <si>
    <t>วัตถุประสงค์</t>
  </si>
  <si>
    <t>องค์การบริหารส่วนตำบลนาหนองทุ่ม   อำเภอแก้งคร้อ  จังหวัดชัยภูมิ</t>
  </si>
  <si>
    <t>(2) ค่าธรรมเกี่ยวกับใบอนุญาติการขายสุรา</t>
  </si>
  <si>
    <t>(3)  ค่าธรรมเนียมเก็บขนอุจจาระหรือสิ่งปฏิกูล</t>
  </si>
  <si>
    <t>(4)  ค่าธรรมเนียมจดทะเบียนพาณิชย์</t>
  </si>
  <si>
    <t>(9)  ค่าภาคหลวงแร่</t>
  </si>
  <si>
    <t>(1)  เงินอุดหนุนทั่วไปสำหรับดำเนินการตามอำนาจหน้าที่</t>
  </si>
  <si>
    <t>(23)  ค่าใบอนุญาตรือถอนอาคาร</t>
  </si>
  <si>
    <r>
      <t xml:space="preserve">ส่วนราชการ </t>
    </r>
    <r>
      <rPr>
        <sz val="16"/>
        <rFont val="Angsana New"/>
        <family val="1"/>
      </rPr>
      <t xml:space="preserve">    ฝ่ายคลัง       องค์การบริหารส่วนตำบลนาหนองทุ่ม</t>
    </r>
  </si>
  <si>
    <t xml:space="preserve">ที่     ชย. 72801/        </t>
  </si>
  <si>
    <t>เรียน         นายกองค์การบริหารส่วนตำบลนาหนองทุ่ม</t>
  </si>
  <si>
    <t xml:space="preserve"> ส่วนลดภาษีบำรุงท้องที่  6 %  </t>
  </si>
  <si>
    <t>โครงการยุติความรุนแรงในครอบครัว</t>
  </si>
  <si>
    <t>111100</t>
  </si>
  <si>
    <t>องค์การบริหารส่วนตำบลนาหนองทุ่ม</t>
  </si>
  <si>
    <t>เงินฝากธนาคาร -  ธกส. ออมทรัพย์  412-2-73618-5</t>
  </si>
  <si>
    <t xml:space="preserve">                        -   ธกส. ออมทรัพย์ 412-2-8776-9</t>
  </si>
  <si>
    <t xml:space="preserve">                        -   ธกส. ประจำ  412-4-10343-9</t>
  </si>
  <si>
    <t xml:space="preserve">                        -   กรุงไทยกระแสรายวัน 307-6-06198-4</t>
  </si>
  <si>
    <t>ลูกหนี้เงินยืมเศรษฐกิจชุมชน</t>
  </si>
  <si>
    <t>111201</t>
  </si>
  <si>
    <t>111203</t>
  </si>
  <si>
    <t>111202</t>
  </si>
  <si>
    <t>113100</t>
  </si>
  <si>
    <t>113500</t>
  </si>
  <si>
    <t>500000</t>
  </si>
  <si>
    <t>521000</t>
  </si>
  <si>
    <t>531000</t>
  </si>
  <si>
    <t>532000</t>
  </si>
  <si>
    <t>533000</t>
  </si>
  <si>
    <t>534000</t>
  </si>
  <si>
    <t>561000</t>
  </si>
  <si>
    <t>541000</t>
  </si>
  <si>
    <t>542000</t>
  </si>
  <si>
    <t>211000</t>
  </si>
  <si>
    <t>310000</t>
  </si>
  <si>
    <t>320000</t>
  </si>
  <si>
    <t>215000</t>
  </si>
  <si>
    <t>200000</t>
  </si>
  <si>
    <t>นายกองค์การบริหารส่วนตำบลนาหนองทุ่ม</t>
  </si>
  <si>
    <t>โครงการการเศรษฐกิจชุมชน</t>
  </si>
  <si>
    <t>522000</t>
  </si>
  <si>
    <t>เงินเดือน  (ฝ่ายการเมือง)</t>
  </si>
  <si>
    <t>เงินเดือน  (ฝ่ายประจำ)</t>
  </si>
  <si>
    <t>เงินเดือน (ฝ่ายการเมือง)</t>
  </si>
  <si>
    <t>เงินเดือน (ฝ่ายประจำ)</t>
  </si>
  <si>
    <t>551000</t>
  </si>
  <si>
    <t>411000</t>
  </si>
  <si>
    <t>412000</t>
  </si>
  <si>
    <t>415000</t>
  </si>
  <si>
    <t>416000</t>
  </si>
  <si>
    <t>เงินรับฝาก   หมายเหตุ  2</t>
  </si>
  <si>
    <t>411001</t>
  </si>
  <si>
    <t>411002</t>
  </si>
  <si>
    <t>411003</t>
  </si>
  <si>
    <t>411004</t>
  </si>
  <si>
    <t>411006</t>
  </si>
  <si>
    <t>411007</t>
  </si>
  <si>
    <t>412101</t>
  </si>
  <si>
    <t>412103</t>
  </si>
  <si>
    <t>412108</t>
  </si>
  <si>
    <t>412128</t>
  </si>
  <si>
    <t>412106</t>
  </si>
  <si>
    <t>412107</t>
  </si>
  <si>
    <t>412109</t>
  </si>
  <si>
    <t>412110</t>
  </si>
  <si>
    <t>412111</t>
  </si>
  <si>
    <t>412112</t>
  </si>
  <si>
    <t>412113</t>
  </si>
  <si>
    <t>412115</t>
  </si>
  <si>
    <t>412118</t>
  </si>
  <si>
    <t>412130</t>
  </si>
  <si>
    <t>412201</t>
  </si>
  <si>
    <t>412202</t>
  </si>
  <si>
    <t>412203</t>
  </si>
  <si>
    <t>412209</t>
  </si>
  <si>
    <t>412210</t>
  </si>
  <si>
    <t>412299</t>
  </si>
  <si>
    <t>412301</t>
  </si>
  <si>
    <t>412307</t>
  </si>
  <si>
    <t>412304</t>
  </si>
  <si>
    <t>412305</t>
  </si>
  <si>
    <t>412308</t>
  </si>
  <si>
    <t>41236</t>
  </si>
  <si>
    <t>412207</t>
  </si>
  <si>
    <t>412399</t>
  </si>
  <si>
    <t>412400</t>
  </si>
  <si>
    <t>412300</t>
  </si>
  <si>
    <t>413001</t>
  </si>
  <si>
    <t>413002</t>
  </si>
  <si>
    <t>413003</t>
  </si>
  <si>
    <t>413004</t>
  </si>
  <si>
    <t xml:space="preserve">(4)  เงินปันผลหรือเงินรางวัลต่าง ๆ </t>
  </si>
  <si>
    <t>414000</t>
  </si>
  <si>
    <t>414003</t>
  </si>
  <si>
    <t>414006</t>
  </si>
  <si>
    <t>414004</t>
  </si>
  <si>
    <t>415003</t>
  </si>
  <si>
    <t>415004</t>
  </si>
  <si>
    <t>415005</t>
  </si>
  <si>
    <t>415006</t>
  </si>
  <si>
    <t>415007</t>
  </si>
  <si>
    <t>415008</t>
  </si>
  <si>
    <t>415999</t>
  </si>
  <si>
    <t>416001</t>
  </si>
  <si>
    <t>(10)  ค่าภาคหลวงปิโตรเลียม</t>
  </si>
  <si>
    <t>(11)  เงินที่เก็บตามกฏหมายว่าด้วยอุทยานแห่งชาติ</t>
  </si>
  <si>
    <t>(12)  ค่าธรรมเนียมจดทะเบียนสิทธิและนิติกรรมที่ดิน</t>
  </si>
  <si>
    <t>(13)  ภาษีจัดสรรอื่น</t>
  </si>
  <si>
    <t>(14)ค่าธรรมเนียมน้ำบาดาลและใช้น้ำบาดาล</t>
  </si>
  <si>
    <t>(2)  เงินอุดหนุนทั่วไป สำหรับ  อปท. ที่มีการบริหารจัดการที่ดี</t>
  </si>
  <si>
    <t xml:space="preserve">               (นางสาวบรรจง  เชยชัยภูมิ)</t>
  </si>
  <si>
    <t>ผู้อำนวยการกองคลังองค์การบริหารส่วนตำบลนาหนองทุ่ม</t>
  </si>
  <si>
    <t>ลูกหนี้เงินยืม</t>
  </si>
  <si>
    <t>113200</t>
  </si>
  <si>
    <t>รายได้จากรัฐบาลค้างรับ</t>
  </si>
  <si>
    <t>(4)  ค่าตอบแทนครูและลูกจ้างประจำ</t>
  </si>
  <si>
    <t xml:space="preserve">    (นาจิราภรณ์   แสงเดือน)</t>
  </si>
  <si>
    <t xml:space="preserve">                 นักวิชาการเงินและบัญชี</t>
  </si>
  <si>
    <t>รายจ่ายค้างจ่าย</t>
  </si>
  <si>
    <t>.</t>
  </si>
  <si>
    <t>(7)  เงินอุดหนุน ค่าตอบแทน เงินเพิ่มค่าครองชีพชั่วคราวประกันสังคม</t>
  </si>
  <si>
    <t>110611</t>
  </si>
  <si>
    <t>รายได้รัฐบาลค้างรับ</t>
  </si>
  <si>
    <t xml:space="preserve"> 5  พ.ค.  60</t>
  </si>
  <si>
    <t xml:space="preserve">             วันที่   31  พฤษภาคม   2560</t>
  </si>
  <si>
    <t xml:space="preserve">               วันที่     31  พฤษภาคม   2560</t>
  </si>
  <si>
    <t xml:space="preserve">  30-42413043-9</t>
  </si>
  <si>
    <t>นางพรรณุรักษ์  บุญโชค</t>
  </si>
  <si>
    <t>เงินอุดหนุนรอคืนจังหวัด (ยาเสพติด)</t>
  </si>
  <si>
    <t>รายจ่ายค้างจ่าย ปี  2560</t>
  </si>
  <si>
    <t>210100</t>
  </si>
  <si>
    <t>รายจ่ายผลัดส่งใบสำคัญจ่าย</t>
  </si>
  <si>
    <t>210300</t>
  </si>
  <si>
    <t>ลูกหนี้ภาษีบำรุงท้องที่</t>
  </si>
  <si>
    <t>11043002</t>
  </si>
  <si>
    <t xml:space="preserve">รายจ่ายผลัดส่งใบสำคัญจ่าย </t>
  </si>
  <si>
    <t xml:space="preserve">รายจ่ายค้างจ่าย  ปี  60 </t>
  </si>
  <si>
    <r>
      <t>ยอดคงเหลือตามรายงานธนาคาร  ณ</t>
    </r>
    <r>
      <rPr>
        <sz val="14"/>
        <rFont val="Cordia New"/>
        <family val="1"/>
      </rPr>
      <t xml:space="preserve">  วันที่     30   กันยายน     2558</t>
    </r>
  </si>
  <si>
    <r>
      <t>บวก</t>
    </r>
    <r>
      <rPr>
        <sz val="14"/>
        <rFont val="Cordia New"/>
        <family val="1"/>
      </rPr>
      <t xml:space="preserve">   เงินฝากระหว่างทาง</t>
    </r>
  </si>
  <si>
    <r>
      <t xml:space="preserve">หัก   </t>
    </r>
    <r>
      <rPr>
        <sz val="14"/>
        <rFont val="Cordia New"/>
        <family val="1"/>
      </rPr>
      <t xml:space="preserve"> </t>
    </r>
  </si>
  <si>
    <r>
      <t>บวก  หรือ (หัก) รายการกระทบยอดอื่น ๆ</t>
    </r>
    <r>
      <rPr>
        <sz val="14"/>
        <rFont val="Cordia New"/>
        <family val="1"/>
      </rPr>
      <t xml:space="preserve"> รายละเอียด</t>
    </r>
  </si>
  <si>
    <r>
      <t xml:space="preserve"> </t>
    </r>
    <r>
      <rPr>
        <u val="single"/>
        <sz val="14"/>
        <rFont val="Cordia New"/>
        <family val="1"/>
      </rPr>
      <t xml:space="preserve"> หัก</t>
    </r>
    <r>
      <rPr>
        <u val="single"/>
        <sz val="14"/>
        <rFont val="Cordia New"/>
        <family val="1"/>
      </rPr>
      <t xml:space="preserve"> </t>
    </r>
    <r>
      <rPr>
        <sz val="14"/>
        <rFont val="Cordia New"/>
        <family val="1"/>
      </rPr>
      <t xml:space="preserve">   เงินโอนจากคลังเข้าบัญชีเงินฝากธนาคาร</t>
    </r>
  </si>
  <si>
    <r>
      <t>ยอดคงเหลือตามบัญชี  ณ</t>
    </r>
    <r>
      <rPr>
        <sz val="14"/>
        <rFont val="Cordia New"/>
        <family val="1"/>
      </rPr>
      <t xml:space="preserve">  วันที่  30  กันยายน  2558</t>
    </r>
  </si>
  <si>
    <r>
      <t>ยอดคงเหลือตามรายงานธนาคาร  ณ</t>
    </r>
    <r>
      <rPr>
        <sz val="14"/>
        <rFont val="Cordia New"/>
        <family val="1"/>
      </rPr>
      <t xml:space="preserve">  วันที่     5   มิถุนายน   2556</t>
    </r>
  </si>
  <si>
    <r>
      <t>ยอดคงเหลือตามบัญชี  ณ</t>
    </r>
    <r>
      <rPr>
        <sz val="14"/>
        <rFont val="Cordia New"/>
        <family val="1"/>
      </rPr>
      <t xml:space="preserve">  วันที่   30   มิถุนายน  2556</t>
    </r>
  </si>
  <si>
    <r>
      <t>ยอดคงเหลือตามรายงานธนาคาร  ณ</t>
    </r>
    <r>
      <rPr>
        <sz val="14"/>
        <rFont val="Cordia New"/>
        <family val="1"/>
      </rPr>
      <t xml:space="preserve">  วันที่     31  พฤษภาคม   2560</t>
    </r>
  </si>
  <si>
    <r>
      <t>ยอดคงเหลือตามบัญชี  ณ</t>
    </r>
    <r>
      <rPr>
        <sz val="14"/>
        <rFont val="Cordia New"/>
        <family val="1"/>
      </rPr>
      <t xml:space="preserve">  วันที่   31  พฤษภาคม  2560</t>
    </r>
  </si>
  <si>
    <r>
      <t>ยอดคงเหลือตามรายงานธนาคาร  ณ</t>
    </r>
    <r>
      <rPr>
        <sz val="14"/>
        <rFont val="Cordia New"/>
        <family val="1"/>
      </rPr>
      <t xml:space="preserve">  วันที่   30   มิถุนายน   255ฃ6</t>
    </r>
  </si>
  <si>
    <t>4110000</t>
  </si>
  <si>
    <t>4120000</t>
  </si>
  <si>
    <t>4130000</t>
  </si>
  <si>
    <t>4150000</t>
  </si>
  <si>
    <t>4200000</t>
  </si>
  <si>
    <t>4310000</t>
  </si>
  <si>
    <t>4410000</t>
  </si>
  <si>
    <t>ผัดส่งใบสำคัญจ่าย</t>
  </si>
  <si>
    <t xml:space="preserve"> ส่วนลดภาษีบำรุงท้องที่  5 %  </t>
  </si>
  <si>
    <t xml:space="preserve">                       รายรับ     ต่ำ / สูง       รายจ่าย                    +</t>
  </si>
  <si>
    <t xml:space="preserve"> +</t>
  </si>
  <si>
    <t>30 พฤศจิกายน 2560</t>
  </si>
  <si>
    <t xml:space="preserve">    วันที่    1  เดือน   ธันวาคม  พ.ศ. 2560</t>
  </si>
  <si>
    <t>งบทดลอง  และรายงานรับ - จ่ายเงินสด งบกระทบยอดเงินฝาก  ประจำเดือน   ธันวาคม  2560    เสร็จเรียบร้อยแล้ว</t>
  </si>
  <si>
    <t>ประจำเดือน   พฤศจิกายน  2560</t>
  </si>
  <si>
    <t xml:space="preserve">  ภาษี หัก  ที่จ่าย</t>
  </si>
  <si>
    <t>ณ   วันที่   พฤศจิกายน   2560</t>
  </si>
  <si>
    <t>วันที่   30  พฤศจิกายน  2560</t>
  </si>
  <si>
    <t>(28)  ค่าใบอนุญาตอื่น ๆ</t>
  </si>
  <si>
    <t>(2)  ภาษีมูลค่าเพิ่ม 1ใน 9 จัดสรรรายได้</t>
  </si>
  <si>
    <r>
      <t>ยอดคงเหลือตามรายงานธนาคาร  ณ</t>
    </r>
    <r>
      <rPr>
        <sz val="14"/>
        <rFont val="Cordia New"/>
        <family val="1"/>
      </rPr>
      <t xml:space="preserve">  วันที่    30  พฤศจิกายน  2560</t>
    </r>
  </si>
  <si>
    <r>
      <t>ยอดคงเหลือตามบัญชี  ณ</t>
    </r>
    <r>
      <rPr>
        <sz val="14"/>
        <rFont val="Cordia New"/>
        <family val="1"/>
      </rPr>
      <t xml:space="preserve">  วันที่   30  พฤศจิกายน  2560</t>
    </r>
  </si>
  <si>
    <t>ร้าน  ล้าน ศ.รุ่งเรือง</t>
  </si>
  <si>
    <t>ธนาคารอาคารสงค์เคราะห์ภูเขียว</t>
  </si>
  <si>
    <t>นางบุบผา  แสนวงค์</t>
  </si>
  <si>
    <t>นางสาวธิดารัตน์  บุญเกื้อ</t>
  </si>
  <si>
    <t>บริษัท ทีโอที จำกัด (มหาชน)</t>
  </si>
  <si>
    <t>โรงพิมพ์อาสารักษาดินแดน</t>
  </si>
  <si>
    <t>บริษัท ไทม์สมีเดียเว็ปไซด์ จำกัด</t>
  </si>
  <si>
    <t xml:space="preserve">             วันที่   30  พฤศจิกายน  2560</t>
  </si>
  <si>
    <t xml:space="preserve">               วันที่     30  พฤศจิกายน  2560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</si>
</sst>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0.000"/>
    <numFmt numFmtId="201" formatCode="0.0000"/>
    <numFmt numFmtId="202" formatCode="0.00000"/>
    <numFmt numFmtId="203" formatCode="0.0"/>
    <numFmt numFmtId="204" formatCode="#,##0.000"/>
    <numFmt numFmtId="205" formatCode="#,##0.0000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[&lt;=9999999][$-D000000]###\-####;[$-D000000]\(0#\)\ ###\-####"/>
    <numFmt numFmtId="212" formatCode="#,##0.00_ ;\-#,##0.00\ "/>
    <numFmt numFmtId="213" formatCode="_-* #,##0.000_-;\-* #,##0.000_-;_-* &quot;-&quot;???_-;_-@_-"/>
    <numFmt numFmtId="214" formatCode="#,##0.00;[Red]#,##0.00"/>
    <numFmt numFmtId="215" formatCode="\(00,000,000.00\)"/>
    <numFmt numFmtId="216" formatCode="\(0,000,00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0_ ;\-0.00\ "/>
    <numFmt numFmtId="222" formatCode="#,##0_ ;\-#,##0\ "/>
    <numFmt numFmtId="223" formatCode="&quot;฿&quot;#,##0.00"/>
  </numFmts>
  <fonts count="60">
    <font>
      <sz val="14"/>
      <name val="Cordia New"/>
      <family val="0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b/>
      <sz val="28"/>
      <name val="Angsana New"/>
      <family val="1"/>
    </font>
    <font>
      <b/>
      <sz val="16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sz val="14"/>
      <name val="TH Niramit AS"/>
      <family val="0"/>
    </font>
    <font>
      <b/>
      <sz val="15"/>
      <name val="TH Niramit AS"/>
      <family val="0"/>
    </font>
    <font>
      <sz val="15"/>
      <name val="TH Niramit AS"/>
      <family val="0"/>
    </font>
    <font>
      <b/>
      <sz val="14"/>
      <name val="TH Niramit AS"/>
      <family val="0"/>
    </font>
    <font>
      <b/>
      <sz val="12"/>
      <name val="AngsanaUPC"/>
      <family val="1"/>
    </font>
    <font>
      <u val="single"/>
      <sz val="14"/>
      <name val="AngsanaUPC"/>
      <family val="1"/>
    </font>
    <font>
      <u val="single"/>
      <sz val="14"/>
      <name val="Cordia New"/>
      <family val="1"/>
    </font>
    <font>
      <b/>
      <sz val="14"/>
      <name val="Cordia New"/>
      <family val="2"/>
    </font>
    <font>
      <u val="single"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3" fontId="4" fillId="0" borderId="12" xfId="36" applyFont="1" applyBorder="1" applyAlignment="1">
      <alignment/>
    </xf>
    <xf numFmtId="0" fontId="4" fillId="0" borderId="13" xfId="0" applyFont="1" applyBorder="1" applyAlignment="1">
      <alignment/>
    </xf>
    <xf numFmtId="43" fontId="4" fillId="0" borderId="12" xfId="36" applyFont="1" applyBorder="1" applyAlignment="1">
      <alignment horizontal="center"/>
    </xf>
    <xf numFmtId="43" fontId="4" fillId="0" borderId="14" xfId="36" applyFont="1" applyBorder="1" applyAlignment="1">
      <alignment horizontal="center"/>
    </xf>
    <xf numFmtId="43" fontId="5" fillId="0" borderId="15" xfId="36" applyFont="1" applyBorder="1" applyAlignment="1">
      <alignment/>
    </xf>
    <xf numFmtId="0" fontId="4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/>
    </xf>
    <xf numFmtId="0" fontId="4" fillId="0" borderId="18" xfId="0" applyFont="1" applyBorder="1" applyAlignment="1">
      <alignment/>
    </xf>
    <xf numFmtId="43" fontId="4" fillId="0" borderId="11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0" fillId="0" borderId="0" xfId="0" applyNumberFormat="1" applyFont="1" applyAlignment="1">
      <alignment/>
    </xf>
    <xf numFmtId="43" fontId="5" fillId="0" borderId="19" xfId="36" applyFont="1" applyBorder="1" applyAlignment="1">
      <alignment horizontal="center"/>
    </xf>
    <xf numFmtId="43" fontId="5" fillId="0" borderId="20" xfId="36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3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43" fontId="4" fillId="0" borderId="0" xfId="36" applyFont="1" applyBorder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3" fontId="4" fillId="0" borderId="23" xfId="36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24" xfId="0" applyFont="1" applyBorder="1" applyAlignment="1">
      <alignment/>
    </xf>
    <xf numFmtId="43" fontId="1" fillId="0" borderId="25" xfId="0" applyNumberFormat="1" applyFont="1" applyBorder="1" applyAlignment="1">
      <alignment/>
    </xf>
    <xf numFmtId="43" fontId="10" fillId="0" borderId="0" xfId="36" applyNumberFormat="1" applyFont="1" applyBorder="1" applyAlignment="1">
      <alignment/>
    </xf>
    <xf numFmtId="43" fontId="10" fillId="0" borderId="0" xfId="36" applyFont="1" applyBorder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43" fontId="13" fillId="0" borderId="0" xfId="36" applyNumberFormat="1" applyFont="1" applyBorder="1" applyAlignment="1">
      <alignment/>
    </xf>
    <xf numFmtId="43" fontId="13" fillId="0" borderId="0" xfId="36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23" xfId="0" applyNumberFormat="1" applyFont="1" applyBorder="1" applyAlignment="1">
      <alignment/>
    </xf>
    <xf numFmtId="43" fontId="4" fillId="0" borderId="13" xfId="36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3" fontId="4" fillId="0" borderId="26" xfId="36" applyFont="1" applyBorder="1" applyAlignment="1">
      <alignment horizontal="center"/>
    </xf>
    <xf numFmtId="43" fontId="4" fillId="0" borderId="12" xfId="36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3" fontId="18" fillId="0" borderId="11" xfId="36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3" fontId="18" fillId="0" borderId="12" xfId="36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43" fontId="18" fillId="0" borderId="12" xfId="36" applyNumberFormat="1" applyFont="1" applyBorder="1" applyAlignment="1">
      <alignment/>
    </xf>
    <xf numFmtId="4" fontId="18" fillId="0" borderId="11" xfId="36" applyNumberFormat="1" applyFont="1" applyBorder="1" applyAlignment="1">
      <alignment/>
    </xf>
    <xf numFmtId="4" fontId="18" fillId="0" borderId="11" xfId="36" applyNumberFormat="1" applyFont="1" applyBorder="1" applyAlignment="1">
      <alignment horizontal="right"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49" fontId="18" fillId="0" borderId="36" xfId="0" applyNumberFormat="1" applyFont="1" applyBorder="1" applyAlignment="1">
      <alignment horizontal="center"/>
    </xf>
    <xf numFmtId="43" fontId="18" fillId="0" borderId="14" xfId="36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7" xfId="0" applyFont="1" applyBorder="1" applyAlignment="1">
      <alignment/>
    </xf>
    <xf numFmtId="43" fontId="17" fillId="0" borderId="38" xfId="36" applyNumberFormat="1" applyFont="1" applyBorder="1" applyAlignment="1">
      <alignment/>
    </xf>
    <xf numFmtId="4" fontId="17" fillId="0" borderId="38" xfId="36" applyNumberFormat="1" applyFont="1" applyBorder="1" applyAlignment="1">
      <alignment horizontal="right"/>
    </xf>
    <xf numFmtId="43" fontId="17" fillId="0" borderId="0" xfId="36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43" fontId="5" fillId="0" borderId="25" xfId="36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center"/>
    </xf>
    <xf numFmtId="49" fontId="16" fillId="0" borderId="12" xfId="0" applyNumberFormat="1" applyFont="1" applyBorder="1" applyAlignment="1" quotePrefix="1">
      <alignment horizontal="center"/>
    </xf>
    <xf numFmtId="43" fontId="16" fillId="0" borderId="11" xfId="36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9" fontId="16" fillId="0" borderId="12" xfId="0" applyNumberFormat="1" applyFont="1" applyBorder="1" applyAlignment="1">
      <alignment horizontal="center"/>
    </xf>
    <xf numFmtId="43" fontId="16" fillId="0" borderId="12" xfId="36" applyNumberFormat="1" applyFont="1" applyBorder="1" applyAlignment="1">
      <alignment/>
    </xf>
    <xf numFmtId="43" fontId="16" fillId="0" borderId="12" xfId="36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43" fontId="16" fillId="0" borderId="12" xfId="36" applyNumberFormat="1" applyFont="1" applyBorder="1" applyAlignment="1">
      <alignment/>
    </xf>
    <xf numFmtId="4" fontId="16" fillId="0" borderId="11" xfId="36" applyNumberFormat="1" applyFont="1" applyBorder="1" applyAlignment="1">
      <alignment/>
    </xf>
    <xf numFmtId="4" fontId="16" fillId="0" borderId="11" xfId="36" applyNumberFormat="1" applyFont="1" applyBorder="1" applyAlignment="1">
      <alignment horizontal="right"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0" borderId="35" xfId="0" applyFont="1" applyBorder="1" applyAlignment="1">
      <alignment/>
    </xf>
    <xf numFmtId="43" fontId="16" fillId="0" borderId="14" xfId="36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/>
    </xf>
    <xf numFmtId="43" fontId="19" fillId="0" borderId="19" xfId="36" applyNumberFormat="1" applyFont="1" applyBorder="1" applyAlignment="1">
      <alignment/>
    </xf>
    <xf numFmtId="4" fontId="19" fillId="0" borderId="38" xfId="36" applyNumberFormat="1" applyFont="1" applyBorder="1" applyAlignment="1">
      <alignment horizontal="right"/>
    </xf>
    <xf numFmtId="43" fontId="19" fillId="0" borderId="0" xfId="36" applyNumberFormat="1" applyFont="1" applyBorder="1" applyAlignment="1">
      <alignment/>
    </xf>
    <xf numFmtId="43" fontId="19" fillId="0" borderId="0" xfId="36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3" fontId="5" fillId="0" borderId="15" xfId="36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4" fontId="16" fillId="0" borderId="0" xfId="0" applyNumberFormat="1" applyFont="1" applyAlignment="1">
      <alignment/>
    </xf>
    <xf numFmtId="4" fontId="19" fillId="0" borderId="0" xfId="36" applyNumberFormat="1" applyFont="1" applyBorder="1" applyAlignment="1">
      <alignment horizontal="right"/>
    </xf>
    <xf numFmtId="43" fontId="5" fillId="0" borderId="42" xfId="36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3" fontId="4" fillId="0" borderId="44" xfId="36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43" fontId="4" fillId="0" borderId="10" xfId="36" applyFont="1" applyBorder="1" applyAlignment="1">
      <alignment horizontal="center"/>
    </xf>
    <xf numFmtId="43" fontId="4" fillId="0" borderId="25" xfId="36" applyFont="1" applyBorder="1" applyAlignment="1">
      <alignment horizontal="center"/>
    </xf>
    <xf numFmtId="43" fontId="5" fillId="0" borderId="0" xfId="36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208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4" fillId="0" borderId="45" xfId="36" applyFont="1" applyBorder="1" applyAlignment="1">
      <alignment horizontal="center"/>
    </xf>
    <xf numFmtId="43" fontId="4" fillId="0" borderId="12" xfId="36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20" fillId="0" borderId="37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3" fontId="4" fillId="0" borderId="46" xfId="36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/>
    </xf>
    <xf numFmtId="43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17" fillId="0" borderId="0" xfId="36" applyNumberFormat="1" applyFont="1" applyBorder="1" applyAlignment="1">
      <alignment horizontal="right"/>
    </xf>
    <xf numFmtId="43" fontId="4" fillId="0" borderId="20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15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3" fontId="4" fillId="0" borderId="13" xfId="36" applyFont="1" applyBorder="1" applyAlignment="1">
      <alignment horizontal="center"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48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12" xfId="36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12" xfId="36" applyFont="1" applyBorder="1" applyAlignment="1">
      <alignment/>
    </xf>
    <xf numFmtId="4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3" fontId="1" fillId="0" borderId="0" xfId="36" applyFont="1" applyAlignment="1">
      <alignment/>
    </xf>
    <xf numFmtId="3" fontId="4" fillId="0" borderId="10" xfId="0" applyNumberFormat="1" applyFont="1" applyBorder="1" applyAlignment="1">
      <alignment/>
    </xf>
    <xf numFmtId="4" fontId="4" fillId="0" borderId="50" xfId="0" applyNumberFormat="1" applyFont="1" applyBorder="1" applyAlignment="1">
      <alignment/>
    </xf>
    <xf numFmtId="0" fontId="4" fillId="0" borderId="25" xfId="0" applyFont="1" applyBorder="1" applyAlignment="1">
      <alignment/>
    </xf>
    <xf numFmtId="4" fontId="4" fillId="0" borderId="36" xfId="0" applyNumberFormat="1" applyFont="1" applyBorder="1" applyAlignment="1">
      <alignment/>
    </xf>
    <xf numFmtId="43" fontId="5" fillId="0" borderId="51" xfId="36" applyFont="1" applyBorder="1" applyAlignment="1">
      <alignment horizontal="right"/>
    </xf>
    <xf numFmtId="4" fontId="5" fillId="0" borderId="38" xfId="0" applyNumberFormat="1" applyFont="1" applyBorder="1" applyAlignment="1">
      <alignment/>
    </xf>
    <xf numFmtId="0" fontId="5" fillId="0" borderId="21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3" fontId="5" fillId="0" borderId="19" xfId="36" applyFont="1" applyBorder="1" applyAlignment="1">
      <alignment horizontal="center"/>
    </xf>
    <xf numFmtId="43" fontId="4" fillId="0" borderId="0" xfId="36" applyFont="1" applyBorder="1" applyAlignment="1">
      <alignment/>
    </xf>
    <xf numFmtId="43" fontId="4" fillId="0" borderId="52" xfId="36" applyFont="1" applyBorder="1" applyAlignment="1">
      <alignment/>
    </xf>
    <xf numFmtId="0" fontId="4" fillId="0" borderId="53" xfId="0" applyFont="1" applyBorder="1" applyAlignment="1">
      <alignment/>
    </xf>
    <xf numFmtId="0" fontId="4" fillId="0" borderId="24" xfId="0" applyFont="1" applyBorder="1" applyAlignment="1">
      <alignment/>
    </xf>
    <xf numFmtId="43" fontId="4" fillId="0" borderId="26" xfId="36" applyFont="1" applyBorder="1" applyAlignment="1">
      <alignment horizontal="right"/>
    </xf>
    <xf numFmtId="43" fontId="4" fillId="0" borderId="0" xfId="36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50" xfId="36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4" xfId="36" applyFont="1" applyBorder="1" applyAlignment="1">
      <alignment horizontal="center"/>
    </xf>
    <xf numFmtId="43" fontId="4" fillId="0" borderId="23" xfId="36" applyFont="1" applyBorder="1" applyAlignment="1">
      <alignment horizontal="center"/>
    </xf>
    <xf numFmtId="0" fontId="4" fillId="0" borderId="12" xfId="0" applyFont="1" applyBorder="1" applyAlignment="1" quotePrefix="1">
      <alignment horizontal="center"/>
    </xf>
    <xf numFmtId="43" fontId="5" fillId="0" borderId="19" xfId="36" applyFont="1" applyBorder="1" applyAlignment="1">
      <alignment horizontal="right"/>
    </xf>
    <xf numFmtId="0" fontId="4" fillId="0" borderId="50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0" xfId="0" applyFont="1" applyAlignment="1">
      <alignment/>
    </xf>
    <xf numFmtId="43" fontId="5" fillId="0" borderId="15" xfId="36" applyFont="1" applyBorder="1" applyAlignment="1">
      <alignment/>
    </xf>
    <xf numFmtId="0" fontId="4" fillId="0" borderId="0" xfId="0" applyFont="1" applyBorder="1" applyAlignment="1">
      <alignment horizontal="center"/>
    </xf>
    <xf numFmtId="43" fontId="5" fillId="0" borderId="15" xfId="36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3" fontId="5" fillId="0" borderId="27" xfId="36" applyFont="1" applyBorder="1" applyAlignment="1">
      <alignment horizontal="right"/>
    </xf>
    <xf numFmtId="43" fontId="5" fillId="0" borderId="20" xfId="36" applyFont="1" applyBorder="1" applyAlignment="1">
      <alignment/>
    </xf>
    <xf numFmtId="43" fontId="5" fillId="0" borderId="20" xfId="36" applyFont="1" applyBorder="1" applyAlignment="1">
      <alignment horizontal="right"/>
    </xf>
    <xf numFmtId="43" fontId="4" fillId="0" borderId="48" xfId="36" applyFont="1" applyBorder="1" applyAlignment="1">
      <alignment horizontal="center"/>
    </xf>
    <xf numFmtId="4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28" xfId="0" applyFont="1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8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39" xfId="0" applyFont="1" applyBorder="1" applyAlignment="1">
      <alignment/>
    </xf>
    <xf numFmtId="4" fontId="4" fillId="0" borderId="29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0" fontId="4" fillId="0" borderId="58" xfId="0" applyFont="1" applyBorder="1" applyAlignment="1">
      <alignment/>
    </xf>
    <xf numFmtId="4" fontId="4" fillId="0" borderId="3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4" fillId="0" borderId="39" xfId="0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32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49" fontId="4" fillId="0" borderId="5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/>
    </xf>
    <xf numFmtId="49" fontId="4" fillId="0" borderId="60" xfId="0" applyNumberFormat="1" applyFont="1" applyBorder="1" applyAlignment="1">
      <alignment horizontal="center"/>
    </xf>
    <xf numFmtId="0" fontId="4" fillId="0" borderId="60" xfId="0" applyFont="1" applyBorder="1" applyAlignment="1">
      <alignment horizontal="right"/>
    </xf>
    <xf numFmtId="4" fontId="4" fillId="0" borderId="60" xfId="0" applyNumberFormat="1" applyFont="1" applyBorder="1" applyAlignment="1">
      <alignment/>
    </xf>
    <xf numFmtId="0" fontId="0" fillId="0" borderId="61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" fontId="5" fillId="0" borderId="64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/>
    </xf>
    <xf numFmtId="0" fontId="0" fillId="0" borderId="39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4" fontId="4" fillId="0" borderId="41" xfId="0" applyNumberFormat="1" applyFont="1" applyBorder="1" applyAlignment="1">
      <alignment/>
    </xf>
    <xf numFmtId="4" fontId="4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4" fontId="4" fillId="0" borderId="60" xfId="0" applyNumberFormat="1" applyFont="1" applyBorder="1" applyAlignment="1">
      <alignment horizontal="right"/>
    </xf>
    <xf numFmtId="4" fontId="4" fillId="0" borderId="6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4" fontId="4" fillId="0" borderId="64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5" fillId="0" borderId="66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40" xfId="0" applyFont="1" applyBorder="1" applyAlignment="1">
      <alignment/>
    </xf>
    <xf numFmtId="4" fontId="5" fillId="0" borderId="40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6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Border="1" applyAlignment="1">
      <alignment/>
    </xf>
    <xf numFmtId="15" fontId="3" fillId="0" borderId="69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3" fontId="2" fillId="0" borderId="0" xfId="36" applyNumberFormat="1" applyFont="1" applyBorder="1" applyAlignment="1">
      <alignment/>
    </xf>
    <xf numFmtId="0" fontId="2" fillId="0" borderId="16" xfId="0" applyFont="1" applyBorder="1" applyAlignment="1">
      <alignment/>
    </xf>
    <xf numFmtId="4" fontId="2" fillId="0" borderId="68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7" xfId="0" applyFont="1" applyBorder="1" applyAlignment="1">
      <alignment/>
    </xf>
    <xf numFmtId="0" fontId="24" fillId="0" borderId="0" xfId="0" applyFont="1" applyBorder="1" applyAlignment="1">
      <alignment/>
    </xf>
    <xf numFmtId="15" fontId="3" fillId="0" borderId="16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" fontId="3" fillId="0" borderId="0" xfId="36" applyNumberFormat="1" applyFont="1" applyBorder="1" applyAlignment="1">
      <alignment horizontal="center"/>
    </xf>
    <xf numFmtId="4" fontId="3" fillId="0" borderId="18" xfId="36" applyNumberFormat="1" applyFont="1" applyBorder="1" applyAlignment="1">
      <alignment horizontal="center"/>
    </xf>
    <xf numFmtId="43" fontId="2" fillId="0" borderId="67" xfId="0" applyNumberFormat="1" applyFont="1" applyBorder="1" applyAlignment="1">
      <alignment/>
    </xf>
    <xf numFmtId="43" fontId="2" fillId="0" borderId="37" xfId="0" applyNumberFormat="1" applyFont="1" applyBorder="1" applyAlignment="1">
      <alignment/>
    </xf>
    <xf numFmtId="4" fontId="2" fillId="0" borderId="49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43" fontId="4" fillId="0" borderId="70" xfId="36" applyFont="1" applyBorder="1" applyAlignment="1">
      <alignment horizontal="center"/>
    </xf>
    <xf numFmtId="43" fontId="4" fillId="0" borderId="70" xfId="0" applyNumberFormat="1" applyFont="1" applyBorder="1" applyAlignment="1">
      <alignment/>
    </xf>
    <xf numFmtId="43" fontId="1" fillId="0" borderId="13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43" fontId="0" fillId="0" borderId="22" xfId="0" applyNumberFormat="1" applyBorder="1" applyAlignment="1">
      <alignment/>
    </xf>
    <xf numFmtId="0" fontId="4" fillId="0" borderId="58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3" fontId="4" fillId="0" borderId="71" xfId="36" applyFont="1" applyBorder="1" applyAlignment="1">
      <alignment horizontal="center"/>
    </xf>
    <xf numFmtId="43" fontId="4" fillId="0" borderId="53" xfId="36" applyFont="1" applyBorder="1" applyAlignment="1">
      <alignment horizontal="center"/>
    </xf>
    <xf numFmtId="43" fontId="5" fillId="0" borderId="69" xfId="36" applyFont="1" applyBorder="1" applyAlignment="1">
      <alignment horizontal="center"/>
    </xf>
    <xf numFmtId="43" fontId="5" fillId="0" borderId="42" xfId="36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3" fontId="5" fillId="0" borderId="72" xfId="36" applyFont="1" applyBorder="1" applyAlignment="1">
      <alignment horizontal="right"/>
    </xf>
    <xf numFmtId="43" fontId="5" fillId="0" borderId="73" xfId="36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208" fontId="0" fillId="0" borderId="0" xfId="0" applyNumberFormat="1" applyFont="1" applyAlignment="1">
      <alignment horizontal="center"/>
    </xf>
    <xf numFmtId="43" fontId="4" fillId="0" borderId="18" xfId="36" applyFont="1" applyBorder="1" applyAlignment="1">
      <alignment horizontal="center"/>
    </xf>
    <xf numFmtId="43" fontId="5" fillId="0" borderId="74" xfId="36" applyFont="1" applyBorder="1" applyAlignment="1">
      <alignment horizontal="center"/>
    </xf>
    <xf numFmtId="43" fontId="5" fillId="0" borderId="75" xfId="36" applyFont="1" applyBorder="1" applyAlignment="1">
      <alignment horizontal="center"/>
    </xf>
    <xf numFmtId="43" fontId="5" fillId="0" borderId="69" xfId="36" applyFont="1" applyBorder="1" applyAlignment="1">
      <alignment horizontal="right"/>
    </xf>
    <xf numFmtId="43" fontId="5" fillId="0" borderId="42" xfId="36" applyFont="1" applyBorder="1" applyAlignment="1">
      <alignment horizontal="right"/>
    </xf>
    <xf numFmtId="43" fontId="4" fillId="0" borderId="13" xfId="36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43" fontId="4" fillId="0" borderId="13" xfId="36" applyFont="1" applyBorder="1" applyAlignment="1">
      <alignment horizontal="right"/>
    </xf>
    <xf numFmtId="43" fontId="4" fillId="0" borderId="11" xfId="36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3" fontId="4" fillId="0" borderId="72" xfId="36" applyFont="1" applyBorder="1" applyAlignment="1">
      <alignment horizontal="center"/>
    </xf>
    <xf numFmtId="43" fontId="4" fillId="0" borderId="73" xfId="36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3" fontId="4" fillId="0" borderId="13" xfId="36" applyFont="1" applyBorder="1" applyAlignment="1">
      <alignment horizontal="center"/>
    </xf>
    <xf numFmtId="43" fontId="4" fillId="0" borderId="11" xfId="36" applyFont="1" applyBorder="1" applyAlignment="1">
      <alignment horizontal="center"/>
    </xf>
    <xf numFmtId="43" fontId="4" fillId="0" borderId="17" xfId="36" applyFont="1" applyBorder="1" applyAlignment="1">
      <alignment horizontal="center"/>
    </xf>
    <xf numFmtId="43" fontId="4" fillId="0" borderId="72" xfId="36" applyFont="1" applyBorder="1" applyAlignment="1">
      <alignment horizontal="center"/>
    </xf>
    <xf numFmtId="43" fontId="4" fillId="0" borderId="73" xfId="36" applyFont="1" applyBorder="1" applyAlignment="1">
      <alignment horizontal="center"/>
    </xf>
    <xf numFmtId="43" fontId="4" fillId="0" borderId="33" xfId="36" applyFont="1" applyBorder="1" applyAlignment="1">
      <alignment horizontal="right"/>
    </xf>
    <xf numFmtId="43" fontId="4" fillId="0" borderId="35" xfId="36" applyFont="1" applyBorder="1" applyAlignment="1">
      <alignment horizontal="right"/>
    </xf>
    <xf numFmtId="43" fontId="4" fillId="0" borderId="16" xfId="36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29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4" fontId="3" fillId="0" borderId="69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5" fontId="3" fillId="0" borderId="69" xfId="0" applyNumberFormat="1" applyFont="1" applyBorder="1" applyAlignment="1">
      <alignment horizontal="center"/>
    </xf>
    <xf numFmtId="15" fontId="3" fillId="0" borderId="42" xfId="0" applyNumberFormat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3" fillId="0" borderId="69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" fontId="23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5" fontId="2" fillId="0" borderId="69" xfId="0" applyNumberFormat="1" applyFont="1" applyBorder="1" applyAlignment="1">
      <alignment horizontal="center"/>
    </xf>
    <xf numFmtId="15" fontId="2" fillId="0" borderId="42" xfId="0" applyNumberFormat="1" applyFont="1" applyBorder="1" applyAlignment="1">
      <alignment horizontal="center"/>
    </xf>
    <xf numFmtId="0" fontId="3" fillId="0" borderId="69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43" fontId="2" fillId="0" borderId="15" xfId="36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67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43" fontId="2" fillId="0" borderId="68" xfId="36" applyFont="1" applyBorder="1" applyAlignment="1">
      <alignment horizontal="right"/>
    </xf>
    <xf numFmtId="43" fontId="2" fillId="0" borderId="49" xfId="36" applyFont="1" applyBorder="1" applyAlignment="1">
      <alignment horizontal="right"/>
    </xf>
    <xf numFmtId="43" fontId="3" fillId="0" borderId="69" xfId="0" applyNumberFormat="1" applyFont="1" applyBorder="1" applyAlignment="1">
      <alignment horizontal="right"/>
    </xf>
    <xf numFmtId="43" fontId="3" fillId="0" borderId="42" xfId="0" applyNumberFormat="1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69" xfId="0" applyFont="1" applyBorder="1" applyAlignment="1">
      <alignment/>
    </xf>
    <xf numFmtId="0" fontId="2" fillId="0" borderId="42" xfId="0" applyFont="1" applyBorder="1" applyAlignment="1">
      <alignment/>
    </xf>
    <xf numFmtId="4" fontId="3" fillId="0" borderId="69" xfId="36" applyNumberFormat="1" applyFont="1" applyBorder="1" applyAlignment="1">
      <alignment horizontal="center"/>
    </xf>
    <xf numFmtId="4" fontId="3" fillId="0" borderId="42" xfId="36" applyNumberFormat="1" applyFont="1" applyBorder="1" applyAlignment="1">
      <alignment horizontal="center"/>
    </xf>
    <xf numFmtId="43" fontId="2" fillId="0" borderId="69" xfId="0" applyNumberFormat="1" applyFont="1" applyBorder="1" applyAlignment="1">
      <alignment/>
    </xf>
    <xf numFmtId="43" fontId="2" fillId="0" borderId="42" xfId="0" applyNumberFormat="1" applyFont="1" applyBorder="1" applyAlignment="1">
      <alignment/>
    </xf>
    <xf numFmtId="43" fontId="3" fillId="0" borderId="69" xfId="36" applyFont="1" applyBorder="1" applyAlignment="1">
      <alignment horizontal="center"/>
    </xf>
    <xf numFmtId="43" fontId="3" fillId="0" borderId="42" xfId="36" applyFont="1" applyBorder="1" applyAlignment="1">
      <alignment horizontal="center"/>
    </xf>
    <xf numFmtId="15" fontId="2" fillId="0" borderId="69" xfId="0" applyNumberFormat="1" applyFont="1" applyBorder="1" applyAlignment="1">
      <alignment horizontal="left"/>
    </xf>
    <xf numFmtId="15" fontId="2" fillId="0" borderId="43" xfId="0" applyNumberFormat="1" applyFont="1" applyBorder="1" applyAlignment="1">
      <alignment horizontal="left"/>
    </xf>
    <xf numFmtId="15" fontId="2" fillId="0" borderId="42" xfId="0" applyNumberFormat="1" applyFont="1" applyBorder="1" applyAlignment="1">
      <alignment horizontal="left"/>
    </xf>
    <xf numFmtId="43" fontId="2" fillId="0" borderId="69" xfId="36" applyFont="1" applyBorder="1" applyAlignment="1">
      <alignment horizontal="center"/>
    </xf>
    <xf numFmtId="43" fontId="2" fillId="0" borderId="42" xfId="36" applyFont="1" applyBorder="1" applyAlignment="1">
      <alignment horizontal="center"/>
    </xf>
    <xf numFmtId="43" fontId="3" fillId="0" borderId="69" xfId="0" applyNumberFormat="1" applyFont="1" applyBorder="1" applyAlignment="1">
      <alignment horizontal="center"/>
    </xf>
    <xf numFmtId="43" fontId="3" fillId="0" borderId="4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" fontId="3" fillId="0" borderId="69" xfId="36" applyNumberFormat="1" applyFont="1" applyBorder="1" applyAlignment="1">
      <alignment horizontal="right"/>
    </xf>
    <xf numFmtId="4" fontId="3" fillId="0" borderId="42" xfId="36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" fontId="3" fillId="0" borderId="69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43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3" fontId="2" fillId="0" borderId="16" xfId="36" applyFont="1" applyBorder="1" applyAlignment="1">
      <alignment horizontal="center"/>
    </xf>
    <xf numFmtId="43" fontId="2" fillId="0" borderId="18" xfId="36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4" fontId="3" fillId="0" borderId="15" xfId="36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3" fontId="2" fillId="0" borderId="18" xfId="36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/>
    </xf>
    <xf numFmtId="43" fontId="2" fillId="0" borderId="68" xfId="36" applyFont="1" applyBorder="1" applyAlignment="1">
      <alignment horizontal="center"/>
    </xf>
    <xf numFmtId="43" fontId="2" fillId="0" borderId="49" xfId="36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3" fontId="2" fillId="0" borderId="69" xfId="0" applyNumberFormat="1" applyFont="1" applyBorder="1" applyAlignment="1">
      <alignment horizontal="center"/>
    </xf>
    <xf numFmtId="43" fontId="2" fillId="0" borderId="42" xfId="0" applyNumberFormat="1" applyFont="1" applyBorder="1" applyAlignment="1">
      <alignment horizontal="center"/>
    </xf>
    <xf numFmtId="43" fontId="2" fillId="0" borderId="69" xfId="0" applyNumberFormat="1" applyFont="1" applyBorder="1" applyAlignment="1">
      <alignment horizontal="right"/>
    </xf>
    <xf numFmtId="43" fontId="2" fillId="0" borderId="42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23" fillId="0" borderId="69" xfId="0" applyNumberFormat="1" applyFont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4" fontId="3" fillId="0" borderId="67" xfId="0" applyNumberFormat="1" applyFont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3" fontId="3" fillId="0" borderId="15" xfId="0" applyNumberFormat="1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9" fillId="0" borderId="69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9</xdr:col>
      <xdr:colOff>38100</xdr:colOff>
      <xdr:row>5</xdr:row>
      <xdr:rowOff>19050</xdr:rowOff>
    </xdr:to>
    <xdr:sp>
      <xdr:nvSpPr>
        <xdr:cNvPr id="1" name="Line 3"/>
        <xdr:cNvSpPr>
          <a:spLocks/>
        </xdr:cNvSpPr>
      </xdr:nvSpPr>
      <xdr:spPr>
        <a:xfrm flipV="1">
          <a:off x="9525" y="1809750"/>
          <a:ext cx="63912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27</xdr:row>
      <xdr:rowOff>9525</xdr:rowOff>
    </xdr:from>
    <xdr:to>
      <xdr:col>5</xdr:col>
      <xdr:colOff>352425</xdr:colOff>
      <xdr:row>33</xdr:row>
      <xdr:rowOff>0</xdr:rowOff>
    </xdr:to>
    <xdr:sp>
      <xdr:nvSpPr>
        <xdr:cNvPr id="1" name="Line 3"/>
        <xdr:cNvSpPr>
          <a:spLocks/>
        </xdr:cNvSpPr>
      </xdr:nvSpPr>
      <xdr:spPr>
        <a:xfrm>
          <a:off x="3076575" y="80676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352425</xdr:colOff>
      <xdr:row>192</xdr:row>
      <xdr:rowOff>9525</xdr:rowOff>
    </xdr:from>
    <xdr:to>
      <xdr:col>5</xdr:col>
      <xdr:colOff>352425</xdr:colOff>
      <xdr:row>198</xdr:row>
      <xdr:rowOff>0</xdr:rowOff>
    </xdr:to>
    <xdr:sp>
      <xdr:nvSpPr>
        <xdr:cNvPr id="2" name="Line 3"/>
        <xdr:cNvSpPr>
          <a:spLocks/>
        </xdr:cNvSpPr>
      </xdr:nvSpPr>
      <xdr:spPr>
        <a:xfrm>
          <a:off x="3076575" y="58131075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29;&#3610;&#3605;.%20&#3611;&#3637;&#3591;&#3610;&#3611;&#3619;&#3632;&#3617;&#3634;&#3603;%20%202561\&#3585;&#3619;&#3632;&#3604;&#3634;&#3625;&#3607;&#3635;&#3585;&#3634;&#3619;&#3619;&#3623;&#3617;%20&#3611;&#3637;%20256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.ค. 60 (2)"/>
      <sheetName val="มิ.ย.60 (2)"/>
      <sheetName val="งบทดรอง(หลังปิดบัญชี) (5)"/>
      <sheetName val="ต.ค. 59"/>
      <sheetName val="พ.ย. 59"/>
      <sheetName val="ธ.ค. 59"/>
      <sheetName val="ม.ค. 60"/>
      <sheetName val="ก.พ. 60"/>
      <sheetName val="มี.ค. 60"/>
      <sheetName val="เม.ย. 60"/>
      <sheetName val="พ.ค. 60"/>
      <sheetName val="มิ.ย.60"/>
      <sheetName val="ก.ค. 60"/>
      <sheetName val="ส.ค. 60"/>
      <sheetName val="ก.ย. 60"/>
      <sheetName val="งบทดรอง(หลังปิดบัญชี) (7)"/>
    </sheetNames>
    <sheetDataSet>
      <sheetData sheetId="11">
        <row r="6">
          <cell r="J6">
            <v>19289448.99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6"/>
  <sheetViews>
    <sheetView workbookViewId="0" topLeftCell="A15">
      <selection activeCell="A1" sqref="A1:M30"/>
    </sheetView>
  </sheetViews>
  <sheetFormatPr defaultColWidth="9.140625" defaultRowHeight="21.75"/>
  <cols>
    <col min="1" max="1" width="13.28125" style="1" customWidth="1"/>
    <col min="2" max="2" width="0.13671875" style="1" hidden="1" customWidth="1"/>
    <col min="3" max="3" width="12.7109375" style="1" customWidth="1"/>
    <col min="4" max="4" width="13.7109375" style="1" customWidth="1"/>
    <col min="5" max="5" width="0.71875" style="1" hidden="1" customWidth="1"/>
    <col min="6" max="6" width="14.28125" style="1" customWidth="1"/>
    <col min="7" max="7" width="0.2890625" style="1" hidden="1" customWidth="1"/>
    <col min="8" max="10" width="9.140625" style="1" customWidth="1"/>
    <col min="11" max="11" width="4.00390625" style="1" customWidth="1"/>
    <col min="12" max="12" width="7.421875" style="1" customWidth="1"/>
    <col min="13" max="13" width="16.00390625" style="1" customWidth="1"/>
    <col min="14" max="14" width="2.7109375" style="1" customWidth="1"/>
    <col min="15" max="15" width="13.140625" style="1" customWidth="1"/>
    <col min="16" max="16" width="9.140625" style="1" customWidth="1"/>
    <col min="17" max="17" width="17.00390625" style="1" customWidth="1"/>
    <col min="18" max="18" width="18.421875" style="1" customWidth="1"/>
    <col min="19" max="16384" width="9.140625" style="1" customWidth="1"/>
  </cols>
  <sheetData>
    <row r="1" spans="1:14" ht="21.75" customHeight="1">
      <c r="A1" s="152" t="s">
        <v>283</v>
      </c>
      <c r="B1" s="153"/>
      <c r="C1" s="153"/>
      <c r="D1" s="153"/>
      <c r="E1" s="153"/>
      <c r="F1" s="153"/>
      <c r="G1" s="7"/>
      <c r="H1" s="7"/>
      <c r="I1" s="7" t="s">
        <v>79</v>
      </c>
      <c r="J1" s="7"/>
      <c r="K1" s="7"/>
      <c r="L1" s="7"/>
      <c r="M1" s="154" t="s">
        <v>447</v>
      </c>
      <c r="N1" s="3"/>
    </row>
    <row r="2" spans="1:14" ht="21.75" customHeight="1">
      <c r="A2" s="7"/>
      <c r="B2" s="7"/>
      <c r="C2" s="7"/>
      <c r="D2" s="7"/>
      <c r="E2" s="7"/>
      <c r="F2" s="7"/>
      <c r="G2" s="7"/>
      <c r="H2" s="406" t="s">
        <v>19</v>
      </c>
      <c r="I2" s="406"/>
      <c r="J2" s="406"/>
      <c r="K2" s="406"/>
      <c r="L2" s="7"/>
      <c r="M2" s="7"/>
      <c r="N2" s="3"/>
    </row>
    <row r="3" spans="1:15" ht="21.75" customHeight="1">
      <c r="A3" s="416" t="s">
        <v>58</v>
      </c>
      <c r="B3" s="417"/>
      <c r="C3" s="417"/>
      <c r="D3" s="417"/>
      <c r="E3" s="417"/>
      <c r="F3" s="417"/>
      <c r="G3" s="393"/>
      <c r="H3" s="407" t="s">
        <v>18</v>
      </c>
      <c r="I3" s="408"/>
      <c r="J3" s="408"/>
      <c r="K3" s="409"/>
      <c r="L3" s="66" t="s">
        <v>0</v>
      </c>
      <c r="M3" s="66" t="s">
        <v>2</v>
      </c>
      <c r="N3" s="3"/>
      <c r="O3" s="48"/>
    </row>
    <row r="4" spans="1:15" ht="21.75" customHeight="1">
      <c r="A4" s="424" t="s">
        <v>4</v>
      </c>
      <c r="B4" s="146"/>
      <c r="C4" s="165" t="s">
        <v>14</v>
      </c>
      <c r="D4" s="66" t="s">
        <v>50</v>
      </c>
      <c r="E4" s="146"/>
      <c r="F4" s="392" t="s">
        <v>5</v>
      </c>
      <c r="G4" s="393"/>
      <c r="H4" s="410"/>
      <c r="I4" s="411"/>
      <c r="J4" s="411"/>
      <c r="K4" s="412"/>
      <c r="L4" s="163"/>
      <c r="M4" s="163"/>
      <c r="N4" s="3"/>
      <c r="O4" s="43"/>
    </row>
    <row r="5" spans="1:14" ht="21.75" customHeight="1">
      <c r="A5" s="425"/>
      <c r="B5" s="164"/>
      <c r="C5" s="166" t="s">
        <v>285</v>
      </c>
      <c r="D5" s="155" t="s">
        <v>22</v>
      </c>
      <c r="E5" s="146"/>
      <c r="F5" s="392" t="s">
        <v>22</v>
      </c>
      <c r="G5" s="393"/>
      <c r="H5" s="413"/>
      <c r="I5" s="414"/>
      <c r="J5" s="414"/>
      <c r="K5" s="415"/>
      <c r="L5" s="67" t="s">
        <v>1</v>
      </c>
      <c r="M5" s="67" t="s">
        <v>3</v>
      </c>
      <c r="N5" s="3"/>
    </row>
    <row r="6" spans="1:15" ht="21.75" customHeight="1">
      <c r="A6" s="422"/>
      <c r="B6" s="423"/>
      <c r="C6" s="161"/>
      <c r="D6" s="147"/>
      <c r="E6" s="147"/>
      <c r="F6" s="395">
        <v>24070323.57</v>
      </c>
      <c r="G6" s="396"/>
      <c r="H6" s="17" t="s">
        <v>104</v>
      </c>
      <c r="I6" s="16"/>
      <c r="J6" s="16"/>
      <c r="K6" s="20"/>
      <c r="L6" s="61"/>
      <c r="M6" s="25">
        <v>20467316.99</v>
      </c>
      <c r="N6" s="3"/>
      <c r="O6" s="1">
        <f>19992831.13+1494644.44+1854804.2+1141192.61</f>
        <v>24483472.38</v>
      </c>
    </row>
    <row r="7" spans="1:14" ht="21.75" customHeight="1">
      <c r="A7" s="404"/>
      <c r="B7" s="405"/>
      <c r="C7" s="13"/>
      <c r="D7" s="373"/>
      <c r="E7" s="148"/>
      <c r="F7" s="420"/>
      <c r="G7" s="421"/>
      <c r="H7" s="12" t="s">
        <v>8</v>
      </c>
      <c r="I7" s="8"/>
      <c r="J7" s="8"/>
      <c r="K7" s="9"/>
      <c r="L7" s="63"/>
      <c r="M7" s="64">
        <f>-M33</f>
        <v>0</v>
      </c>
      <c r="N7" s="3"/>
    </row>
    <row r="8" spans="1:17" ht="21.75" customHeight="1">
      <c r="A8" s="404">
        <v>203000</v>
      </c>
      <c r="B8" s="405"/>
      <c r="C8" s="13"/>
      <c r="D8" s="374">
        <f aca="true" t="shared" si="0" ref="D8:D14">A8+C8</f>
        <v>203000</v>
      </c>
      <c r="E8" s="148"/>
      <c r="F8" s="375">
        <f aca="true" t="shared" si="1" ref="F8:F15">M8</f>
        <v>0</v>
      </c>
      <c r="H8" s="12" t="s">
        <v>9</v>
      </c>
      <c r="I8" s="8"/>
      <c r="J8" s="8"/>
      <c r="K8" s="9"/>
      <c r="L8" s="10" t="s">
        <v>436</v>
      </c>
      <c r="M8" s="64"/>
      <c r="N8" s="3"/>
      <c r="P8" s="43"/>
      <c r="Q8" s="41"/>
    </row>
    <row r="9" spans="1:18" ht="21.75" customHeight="1">
      <c r="A9" s="404">
        <v>20000</v>
      </c>
      <c r="B9" s="405"/>
      <c r="C9" s="13"/>
      <c r="D9" s="374">
        <f t="shared" si="0"/>
        <v>20000</v>
      </c>
      <c r="E9" s="148"/>
      <c r="F9" s="418">
        <v>5265.5</v>
      </c>
      <c r="G9" s="419"/>
      <c r="H9" s="12" t="s">
        <v>10</v>
      </c>
      <c r="I9" s="8"/>
      <c r="J9" s="8"/>
      <c r="K9" s="9"/>
      <c r="L9" s="10" t="s">
        <v>437</v>
      </c>
      <c r="M9" s="64">
        <f>321.5+120+4580</f>
        <v>5021.5</v>
      </c>
      <c r="N9" s="3"/>
      <c r="Q9" s="41"/>
      <c r="R9" s="41"/>
    </row>
    <row r="10" spans="1:17" ht="21.75" customHeight="1">
      <c r="A10" s="404">
        <v>150000</v>
      </c>
      <c r="B10" s="405"/>
      <c r="C10" s="13"/>
      <c r="D10" s="174">
        <f t="shared" si="0"/>
        <v>150000</v>
      </c>
      <c r="E10" s="148"/>
      <c r="F10" s="418">
        <f t="shared" si="1"/>
        <v>0</v>
      </c>
      <c r="G10" s="419"/>
      <c r="H10" s="12" t="s">
        <v>11</v>
      </c>
      <c r="I10" s="8"/>
      <c r="J10" s="8"/>
      <c r="K10" s="9"/>
      <c r="L10" s="10" t="s">
        <v>438</v>
      </c>
      <c r="M10" s="11"/>
      <c r="N10" s="3"/>
      <c r="Q10" s="41"/>
    </row>
    <row r="11" spans="1:17" ht="21.75" customHeight="1">
      <c r="A11" s="404">
        <v>0</v>
      </c>
      <c r="B11" s="405"/>
      <c r="C11" s="13"/>
      <c r="D11" s="174">
        <f t="shared" si="0"/>
        <v>0</v>
      </c>
      <c r="E11" s="148"/>
      <c r="F11" s="418">
        <f t="shared" si="1"/>
        <v>0</v>
      </c>
      <c r="G11" s="419"/>
      <c r="H11" s="12" t="s">
        <v>12</v>
      </c>
      <c r="I11" s="8"/>
      <c r="J11" s="8"/>
      <c r="K11" s="9"/>
      <c r="L11" s="10" t="s">
        <v>439</v>
      </c>
      <c r="M11" s="65"/>
      <c r="N11" s="3"/>
      <c r="Q11" s="41"/>
    </row>
    <row r="12" spans="1:18" ht="21.75" customHeight="1">
      <c r="A12" s="62"/>
      <c r="B12" s="21"/>
      <c r="C12" s="13"/>
      <c r="D12" s="174">
        <f t="shared" si="0"/>
        <v>0</v>
      </c>
      <c r="E12" s="148"/>
      <c r="F12" s="418">
        <f t="shared" si="1"/>
        <v>0</v>
      </c>
      <c r="G12" s="419"/>
      <c r="H12" s="12" t="s">
        <v>121</v>
      </c>
      <c r="I12" s="12"/>
      <c r="J12" s="8"/>
      <c r="K12" s="9"/>
      <c r="L12" s="10" t="s">
        <v>337</v>
      </c>
      <c r="M12" s="11"/>
      <c r="N12" s="3"/>
      <c r="Q12" s="41"/>
      <c r="R12" s="376"/>
    </row>
    <row r="13" spans="1:17" ht="21.75" customHeight="1">
      <c r="A13" s="426">
        <v>18020000</v>
      </c>
      <c r="B13" s="427"/>
      <c r="C13" s="162"/>
      <c r="D13" s="174">
        <f t="shared" si="0"/>
        <v>18020000</v>
      </c>
      <c r="E13" s="149"/>
      <c r="F13" s="418">
        <v>1972232.36</v>
      </c>
      <c r="G13" s="419"/>
      <c r="H13" s="12" t="s">
        <v>13</v>
      </c>
      <c r="I13" s="8"/>
      <c r="J13" s="8"/>
      <c r="K13" s="9"/>
      <c r="L13" s="10" t="s">
        <v>440</v>
      </c>
      <c r="M13" s="65">
        <f>625793.89+243741.67+180127.94+911887.23+10681.63</f>
        <v>1972232.3599999999</v>
      </c>
      <c r="N13" s="3"/>
      <c r="Q13" s="41"/>
    </row>
    <row r="14" spans="1:17" ht="21.75" customHeight="1">
      <c r="A14" s="428">
        <v>22800000</v>
      </c>
      <c r="B14" s="405"/>
      <c r="C14" s="13"/>
      <c r="D14" s="174">
        <f t="shared" si="0"/>
        <v>22800000</v>
      </c>
      <c r="E14" s="148"/>
      <c r="F14" s="418">
        <v>7107752</v>
      </c>
      <c r="G14" s="419"/>
      <c r="H14" s="12" t="s">
        <v>284</v>
      </c>
      <c r="I14" s="8"/>
      <c r="J14" s="8"/>
      <c r="K14" s="9"/>
      <c r="L14" s="10" t="s">
        <v>441</v>
      </c>
      <c r="M14" s="64">
        <f>2984106+278370+616400+284076+16500+132600+828000+1967700</f>
        <v>7107752</v>
      </c>
      <c r="N14" s="3"/>
      <c r="O14" s="4"/>
      <c r="Q14" s="41"/>
    </row>
    <row r="15" spans="1:17" ht="21.75" customHeight="1">
      <c r="A15" s="433"/>
      <c r="B15" s="399"/>
      <c r="C15" s="14"/>
      <c r="D15" s="170"/>
      <c r="E15" s="150"/>
      <c r="F15" s="431">
        <f t="shared" si="1"/>
        <v>0</v>
      </c>
      <c r="G15" s="432"/>
      <c r="H15" s="12" t="s">
        <v>267</v>
      </c>
      <c r="I15" s="8"/>
      <c r="J15" s="8"/>
      <c r="K15" s="9"/>
      <c r="L15" s="10" t="s">
        <v>442</v>
      </c>
      <c r="M15" s="173"/>
      <c r="N15" s="3"/>
      <c r="Q15" s="175"/>
    </row>
    <row r="16" spans="1:18" ht="21.75" customHeight="1" thickBot="1">
      <c r="A16" s="135">
        <f>SUM(A8:A15)</f>
        <v>41193000</v>
      </c>
      <c r="B16" s="103">
        <f>SUM(A16)</f>
        <v>41193000</v>
      </c>
      <c r="C16" s="135">
        <f>SUM(C8:C15)</f>
        <v>0</v>
      </c>
      <c r="D16" s="145">
        <f>SUM(D8:D15)</f>
        <v>41193000</v>
      </c>
      <c r="E16" s="151"/>
      <c r="F16" s="390">
        <f>SUM(F9:F15)</f>
        <v>9085249.86</v>
      </c>
      <c r="G16" s="391"/>
      <c r="H16" s="12"/>
      <c r="I16" s="8"/>
      <c r="J16" s="8"/>
      <c r="K16" s="9"/>
      <c r="L16" s="10"/>
      <c r="M16" s="24">
        <f>SUM(M7:M15)</f>
        <v>9085005.86</v>
      </c>
      <c r="N16" s="3"/>
      <c r="Q16" s="49"/>
      <c r="R16" s="4"/>
    </row>
    <row r="17" spans="1:18" ht="21.75" customHeight="1" thickTop="1">
      <c r="A17" s="394"/>
      <c r="B17" s="394"/>
      <c r="C17" s="39"/>
      <c r="D17" s="39"/>
      <c r="E17" s="39"/>
      <c r="F17" s="429">
        <f>605.37+95+114+26764</f>
        <v>27578.37</v>
      </c>
      <c r="G17" s="430"/>
      <c r="H17" s="12" t="s">
        <v>16</v>
      </c>
      <c r="I17" s="8"/>
      <c r="J17" s="8"/>
      <c r="K17" s="9"/>
      <c r="L17" s="10" t="s">
        <v>324</v>
      </c>
      <c r="M17" s="64">
        <f>525.03+1.75+2.1+13382</f>
        <v>13910.88</v>
      </c>
      <c r="N17" s="3"/>
      <c r="Q17" s="41"/>
      <c r="R17" s="41"/>
    </row>
    <row r="18" spans="1:18" ht="21.75" customHeight="1">
      <c r="A18" s="39"/>
      <c r="B18" s="39"/>
      <c r="C18" s="39"/>
      <c r="D18" s="39"/>
      <c r="E18" s="39"/>
      <c r="F18" s="426">
        <f aca="true" t="shared" si="2" ref="F18:F23">M18</f>
        <v>60000</v>
      </c>
      <c r="G18" s="427"/>
      <c r="H18" s="434" t="s">
        <v>306</v>
      </c>
      <c r="I18" s="435"/>
      <c r="J18" s="435"/>
      <c r="K18" s="9"/>
      <c r="L18" s="10" t="s">
        <v>311</v>
      </c>
      <c r="M18" s="14">
        <v>60000</v>
      </c>
      <c r="N18" s="3"/>
      <c r="Q18" s="41"/>
      <c r="R18" s="41"/>
    </row>
    <row r="19" spans="1:18" ht="21.75" customHeight="1">
      <c r="A19" s="39"/>
      <c r="B19" s="39"/>
      <c r="C19" s="39"/>
      <c r="D19" s="39"/>
      <c r="E19" s="39"/>
      <c r="F19" s="179">
        <v>192250</v>
      </c>
      <c r="G19" s="149"/>
      <c r="H19" s="177" t="s">
        <v>400</v>
      </c>
      <c r="I19" s="178"/>
      <c r="J19" s="178"/>
      <c r="K19" s="9"/>
      <c r="L19" s="22">
        <v>113100</v>
      </c>
      <c r="M19" s="14">
        <v>83080</v>
      </c>
      <c r="N19" s="3"/>
      <c r="Q19" s="41"/>
      <c r="R19" s="41"/>
    </row>
    <row r="20" spans="1:18" ht="21.75" customHeight="1">
      <c r="A20" s="39"/>
      <c r="B20" s="39"/>
      <c r="C20" s="39"/>
      <c r="D20" s="39"/>
      <c r="E20" s="39"/>
      <c r="F20" s="179">
        <f t="shared" si="2"/>
        <v>0</v>
      </c>
      <c r="G20" s="149"/>
      <c r="H20" s="177" t="s">
        <v>122</v>
      </c>
      <c r="I20" s="178"/>
      <c r="J20" s="178"/>
      <c r="K20" s="9"/>
      <c r="L20" s="10" t="s">
        <v>300</v>
      </c>
      <c r="M20" s="44"/>
      <c r="N20" s="3"/>
      <c r="Q20" s="41"/>
      <c r="R20" s="41"/>
    </row>
    <row r="21" spans="1:18" ht="21.75" customHeight="1">
      <c r="A21" s="39"/>
      <c r="B21" s="39"/>
      <c r="C21" s="39"/>
      <c r="D21" s="39"/>
      <c r="E21" s="39"/>
      <c r="F21" s="179">
        <f t="shared" si="2"/>
        <v>0</v>
      </c>
      <c r="G21" s="149"/>
      <c r="H21" s="177" t="s">
        <v>410</v>
      </c>
      <c r="I21" s="178"/>
      <c r="J21" s="178"/>
      <c r="K21" s="9"/>
      <c r="L21" s="10" t="s">
        <v>409</v>
      </c>
      <c r="M21" s="44"/>
      <c r="N21" s="3"/>
      <c r="Q21" s="41"/>
      <c r="R21" s="41"/>
    </row>
    <row r="22" spans="1:18" ht="21.75" customHeight="1">
      <c r="A22" s="39"/>
      <c r="B22" s="39"/>
      <c r="C22" s="39"/>
      <c r="D22" s="39"/>
      <c r="E22" s="39"/>
      <c r="F22" s="179">
        <f t="shared" si="2"/>
        <v>0</v>
      </c>
      <c r="G22" s="149"/>
      <c r="H22" s="434" t="s">
        <v>417</v>
      </c>
      <c r="I22" s="435"/>
      <c r="J22" s="435"/>
      <c r="K22" s="436"/>
      <c r="L22" s="10" t="s">
        <v>418</v>
      </c>
      <c r="M22" s="44"/>
      <c r="N22" s="3"/>
      <c r="Q22" s="41"/>
      <c r="R22" s="41"/>
    </row>
    <row r="23" spans="1:18" ht="21.75" customHeight="1">
      <c r="A23" s="39"/>
      <c r="B23" s="39"/>
      <c r="C23" s="39"/>
      <c r="D23" s="39"/>
      <c r="E23" s="39"/>
      <c r="F23" s="179">
        <f t="shared" si="2"/>
        <v>0</v>
      </c>
      <c r="G23" s="149"/>
      <c r="H23" s="434" t="s">
        <v>419</v>
      </c>
      <c r="I23" s="435"/>
      <c r="J23" s="435"/>
      <c r="K23" s="436"/>
      <c r="L23" s="10" t="s">
        <v>420</v>
      </c>
      <c r="M23" s="44"/>
      <c r="N23" s="3"/>
      <c r="Q23" s="41"/>
      <c r="R23" s="41"/>
    </row>
    <row r="24" spans="1:18" ht="21.75" customHeight="1">
      <c r="A24" s="39"/>
      <c r="B24" s="39"/>
      <c r="C24" s="39"/>
      <c r="D24" s="39"/>
      <c r="E24" s="39"/>
      <c r="F24" s="179">
        <v>1691</v>
      </c>
      <c r="G24" s="149"/>
      <c r="H24" s="434" t="s">
        <v>421</v>
      </c>
      <c r="I24" s="435"/>
      <c r="J24" s="435"/>
      <c r="K24" s="436"/>
      <c r="L24" s="10" t="s">
        <v>422</v>
      </c>
      <c r="M24" s="44">
        <v>31.15</v>
      </c>
      <c r="N24" s="3"/>
      <c r="Q24" s="41"/>
      <c r="R24" s="41"/>
    </row>
    <row r="25" spans="1:17" ht="21.75" customHeight="1">
      <c r="A25" s="39"/>
      <c r="B25" s="39"/>
      <c r="C25" s="39"/>
      <c r="D25" s="167"/>
      <c r="E25" s="39"/>
      <c r="F25" s="426">
        <f>81563</f>
        <v>81563</v>
      </c>
      <c r="G25" s="427"/>
      <c r="H25" s="434" t="s">
        <v>36</v>
      </c>
      <c r="I25" s="435"/>
      <c r="J25" s="435"/>
      <c r="K25" s="436"/>
      <c r="L25" s="10" t="s">
        <v>322</v>
      </c>
      <c r="M25" s="44"/>
      <c r="N25" s="3"/>
      <c r="P25" s="43"/>
      <c r="Q25" s="43"/>
    </row>
    <row r="26" spans="1:17" ht="21.75" customHeight="1" thickBot="1">
      <c r="A26" s="394"/>
      <c r="B26" s="394"/>
      <c r="C26" s="39"/>
      <c r="D26" s="39"/>
      <c r="E26" s="39"/>
      <c r="F26" s="400">
        <f>SUM(F17:F25)</f>
        <v>363082.37</v>
      </c>
      <c r="G26" s="401"/>
      <c r="H26" s="12"/>
      <c r="I26" s="8"/>
      <c r="J26" s="8"/>
      <c r="K26" s="9"/>
      <c r="L26" s="10"/>
      <c r="M26" s="24">
        <f>SUM(M17:M25)</f>
        <v>157022.03</v>
      </c>
      <c r="N26" s="156"/>
      <c r="O26" s="43"/>
      <c r="P26" s="168"/>
      <c r="Q26" s="4"/>
    </row>
    <row r="27" spans="1:16" ht="21.75" customHeight="1" thickTop="1">
      <c r="A27" s="394"/>
      <c r="B27" s="394"/>
      <c r="C27" s="39"/>
      <c r="D27" s="39"/>
      <c r="E27" s="39"/>
      <c r="F27" s="388"/>
      <c r="G27" s="389"/>
      <c r="H27" s="12"/>
      <c r="I27" s="8"/>
      <c r="J27" s="8"/>
      <c r="K27" s="9"/>
      <c r="L27" s="10"/>
      <c r="M27" s="64"/>
      <c r="N27" s="3"/>
      <c r="P27" s="43"/>
    </row>
    <row r="28" spans="1:16" ht="21.75" customHeight="1">
      <c r="A28" s="394"/>
      <c r="B28" s="394"/>
      <c r="C28" s="39"/>
      <c r="D28" s="39"/>
      <c r="E28" s="39"/>
      <c r="F28" s="404"/>
      <c r="G28" s="405"/>
      <c r="H28" s="12"/>
      <c r="I28" s="8"/>
      <c r="J28" s="8"/>
      <c r="K28" s="9"/>
      <c r="L28" s="10"/>
      <c r="M28" s="13"/>
      <c r="N28" s="3"/>
      <c r="P28" s="43"/>
    </row>
    <row r="29" spans="1:17" ht="21.75" customHeight="1">
      <c r="A29" s="39"/>
      <c r="B29" s="39"/>
      <c r="C29" s="39"/>
      <c r="D29" s="39"/>
      <c r="E29" s="39"/>
      <c r="F29" s="402">
        <f>SUM(F16+F26)</f>
        <v>9448332.229999999</v>
      </c>
      <c r="G29" s="403"/>
      <c r="H29" s="18"/>
      <c r="I29" s="16"/>
      <c r="J29" s="16"/>
      <c r="K29" s="16"/>
      <c r="L29" s="20"/>
      <c r="M29" s="15">
        <f>SUM(M16+M26)</f>
        <v>9242027.889999999</v>
      </c>
      <c r="N29" s="3"/>
      <c r="P29" s="169"/>
      <c r="Q29" s="43"/>
    </row>
    <row r="30" spans="1:17" ht="21.75" customHeight="1">
      <c r="A30" s="394"/>
      <c r="B30" s="394"/>
      <c r="C30" s="39"/>
      <c r="D30" s="39"/>
      <c r="E30" s="39"/>
      <c r="F30" s="390">
        <f>SUM(F6+F29)</f>
        <v>33518655.799999997</v>
      </c>
      <c r="G30" s="391"/>
      <c r="H30" s="385" t="s">
        <v>103</v>
      </c>
      <c r="I30" s="386"/>
      <c r="J30" s="386"/>
      <c r="K30" s="386"/>
      <c r="L30" s="387"/>
      <c r="M30" s="15">
        <f>SUM(M6+M29)</f>
        <v>29709344.879999995</v>
      </c>
      <c r="N30" s="3"/>
      <c r="Q30" s="41">
        <f>23047481.1+1247057.91+35353.5+1826538.5</f>
        <v>26156431.01</v>
      </c>
    </row>
    <row r="31" spans="1:18" ht="6.75" customHeight="1">
      <c r="A31" s="394"/>
      <c r="B31" s="399"/>
      <c r="C31" s="39"/>
      <c r="D31" s="39"/>
      <c r="E31" s="39"/>
      <c r="F31" s="384"/>
      <c r="G31" s="384"/>
      <c r="H31" s="3"/>
      <c r="I31" s="3"/>
      <c r="J31" s="3"/>
      <c r="K31" s="3"/>
      <c r="L31" s="3"/>
      <c r="M31" s="45"/>
      <c r="N31" s="3"/>
      <c r="R31" s="43"/>
    </row>
    <row r="32" spans="1:17" ht="24">
      <c r="A32" s="398"/>
      <c r="B32" s="398"/>
      <c r="C32" s="157"/>
      <c r="D32" s="157"/>
      <c r="E32" s="157"/>
      <c r="F32" s="384"/>
      <c r="G32" s="384"/>
      <c r="H32" s="3"/>
      <c r="I32" s="3"/>
      <c r="J32" s="3"/>
      <c r="K32" s="3"/>
      <c r="L32" s="3"/>
      <c r="M32" s="3"/>
      <c r="N32" s="3"/>
      <c r="Q32" s="4"/>
    </row>
    <row r="33" spans="1:17" ht="24">
      <c r="A33" s="397"/>
      <c r="B33" s="397"/>
      <c r="C33" s="158"/>
      <c r="D33" s="158"/>
      <c r="E33" s="158"/>
      <c r="F33" s="384"/>
      <c r="G33" s="384"/>
      <c r="H33" s="3"/>
      <c r="I33" s="3"/>
      <c r="J33" s="3"/>
      <c r="K33" s="3"/>
      <c r="L33" s="3"/>
      <c r="M33" s="3"/>
      <c r="N33" s="3"/>
      <c r="Q33" s="4">
        <f>64969510.5+M29</f>
        <v>74211538.39</v>
      </c>
    </row>
    <row r="34" spans="1:14" ht="24">
      <c r="A34" s="3"/>
      <c r="B34" s="3"/>
      <c r="C34" s="3"/>
      <c r="D34" s="3"/>
      <c r="E34" s="3"/>
      <c r="F34" s="3"/>
      <c r="G34" s="3"/>
      <c r="H34" s="23"/>
      <c r="I34" s="3"/>
      <c r="J34" s="3"/>
      <c r="K34" s="45"/>
      <c r="L34" s="3"/>
      <c r="M34" s="3"/>
      <c r="N34" s="3"/>
    </row>
    <row r="35" spans="1:14" ht="24">
      <c r="A35" s="3"/>
      <c r="B35" s="3"/>
      <c r="C35" s="3"/>
      <c r="D35" s="3"/>
      <c r="E35" s="3"/>
      <c r="F35" s="3"/>
      <c r="G35" s="3"/>
      <c r="H35" s="23"/>
      <c r="I35" s="3"/>
      <c r="J35" s="384"/>
      <c r="K35" s="384"/>
      <c r="L35" s="384"/>
      <c r="M35" s="384"/>
      <c r="N35" s="3"/>
    </row>
    <row r="36" spans="1:20" ht="24">
      <c r="A36" s="160"/>
      <c r="B36" s="3"/>
      <c r="C36" s="3"/>
      <c r="D36" s="3"/>
      <c r="E36" s="3"/>
      <c r="F36" s="384"/>
      <c r="G36" s="384"/>
      <c r="H36" s="3"/>
      <c r="I36" s="3"/>
      <c r="J36" s="3"/>
      <c r="K36" s="3"/>
      <c r="L36" s="3"/>
      <c r="M36" s="3"/>
      <c r="N36" s="3"/>
      <c r="R36" s="43"/>
      <c r="S36" s="43"/>
      <c r="T36" s="43"/>
    </row>
    <row r="37" spans="1:19" ht="24">
      <c r="A37" s="159"/>
      <c r="B37" s="3"/>
      <c r="C37" s="3"/>
      <c r="D37" s="3"/>
      <c r="E37" s="3"/>
      <c r="F37" s="384"/>
      <c r="G37" s="384"/>
      <c r="H37" s="3"/>
      <c r="I37" s="3"/>
      <c r="J37" s="3"/>
      <c r="K37" s="3"/>
      <c r="L37" s="3"/>
      <c r="M37" s="3"/>
      <c r="N37" s="3"/>
      <c r="S37" s="43"/>
    </row>
    <row r="38" spans="1:14" ht="24">
      <c r="A38" s="160"/>
      <c r="B38" s="3"/>
      <c r="C38" s="3"/>
      <c r="D38" s="3"/>
      <c r="E38" s="3"/>
      <c r="F38" s="384"/>
      <c r="G38" s="384"/>
      <c r="H38" s="3"/>
      <c r="I38" s="3"/>
      <c r="J38" s="3"/>
      <c r="K38" s="3"/>
      <c r="L38" s="3"/>
      <c r="M38" s="3"/>
      <c r="N38" s="3"/>
    </row>
    <row r="39" spans="1:14" ht="24">
      <c r="A39" s="160"/>
      <c r="B39" s="3"/>
      <c r="C39" s="3"/>
      <c r="D39" s="3"/>
      <c r="E39" s="3"/>
      <c r="F39" s="384"/>
      <c r="G39" s="384"/>
      <c r="H39" s="3"/>
      <c r="I39" s="3"/>
      <c r="J39" s="3"/>
      <c r="K39" s="3"/>
      <c r="L39" s="3"/>
      <c r="M39" s="3"/>
      <c r="N39" s="3"/>
    </row>
    <row r="40" spans="1:14" ht="24">
      <c r="A40" s="160"/>
      <c r="B40" s="3"/>
      <c r="C40" s="3"/>
      <c r="D40" s="3"/>
      <c r="E40" s="3"/>
      <c r="F40" s="384"/>
      <c r="G40" s="384"/>
      <c r="H40" s="3"/>
      <c r="I40" s="3"/>
      <c r="J40" s="3"/>
      <c r="K40" s="3"/>
      <c r="L40" s="3"/>
      <c r="M40" s="3"/>
      <c r="N40" s="3"/>
    </row>
    <row r="41" spans="1:14" ht="24">
      <c r="A41" s="3"/>
      <c r="B41" s="3"/>
      <c r="C41" s="3"/>
      <c r="D41" s="3"/>
      <c r="E41" s="3"/>
      <c r="F41" s="384"/>
      <c r="G41" s="384"/>
      <c r="H41" s="3"/>
      <c r="I41" s="3"/>
      <c r="J41" s="3"/>
      <c r="K41" s="3"/>
      <c r="L41" s="3"/>
      <c r="M41" s="3"/>
      <c r="N41" s="3"/>
    </row>
    <row r="42" spans="1:14" ht="24">
      <c r="A42" s="2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24">
      <c r="A43" s="2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4">
      <c r="A44" s="2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24">
      <c r="A45" s="2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24">
      <c r="A46" s="2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24">
      <c r="A47" s="2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24">
      <c r="A48" s="2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24">
      <c r="A49" s="2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2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2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2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2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2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2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2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2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2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2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2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2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2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2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2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2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2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94" spans="2:5" ht="24">
      <c r="B94" s="2"/>
      <c r="C94" s="2"/>
      <c r="D94" s="2"/>
      <c r="E94" s="2"/>
    </row>
    <row r="95" ht="24">
      <c r="A95" s="2"/>
    </row>
    <row r="96" ht="24">
      <c r="A96" s="2"/>
    </row>
    <row r="97" ht="24">
      <c r="A97" s="2"/>
    </row>
    <row r="99" ht="24">
      <c r="A99" s="2"/>
    </row>
    <row r="106" ht="24">
      <c r="A106" s="2"/>
    </row>
    <row r="107" ht="24">
      <c r="A107" s="2"/>
    </row>
    <row r="112" ht="24">
      <c r="A112" s="2"/>
    </row>
    <row r="143" ht="24">
      <c r="F143" s="2"/>
    </row>
    <row r="144" ht="24">
      <c r="F144" s="2"/>
    </row>
    <row r="145" spans="6:10" ht="24">
      <c r="F145" s="2"/>
      <c r="J145" s="2"/>
    </row>
    <row r="146" ht="24">
      <c r="A146" s="2"/>
    </row>
  </sheetData>
  <sheetProtection/>
  <mergeCells count="57">
    <mergeCell ref="H25:K25"/>
    <mergeCell ref="F25:G25"/>
    <mergeCell ref="H22:K22"/>
    <mergeCell ref="H23:K23"/>
    <mergeCell ref="H18:J18"/>
    <mergeCell ref="F18:G18"/>
    <mergeCell ref="H24:K24"/>
    <mergeCell ref="F14:G14"/>
    <mergeCell ref="A14:B14"/>
    <mergeCell ref="F17:G17"/>
    <mergeCell ref="F15:G15"/>
    <mergeCell ref="A15:B15"/>
    <mergeCell ref="A17:B17"/>
    <mergeCell ref="F16:G16"/>
    <mergeCell ref="F10:G10"/>
    <mergeCell ref="F13:G13"/>
    <mergeCell ref="F11:G11"/>
    <mergeCell ref="A9:B9"/>
    <mergeCell ref="A11:B11"/>
    <mergeCell ref="F12:G12"/>
    <mergeCell ref="A10:B10"/>
    <mergeCell ref="A13:B13"/>
    <mergeCell ref="H2:K2"/>
    <mergeCell ref="H3:K5"/>
    <mergeCell ref="A3:G3"/>
    <mergeCell ref="F5:G5"/>
    <mergeCell ref="F9:G9"/>
    <mergeCell ref="F7:G7"/>
    <mergeCell ref="A6:B6"/>
    <mergeCell ref="A7:B7"/>
    <mergeCell ref="A8:B8"/>
    <mergeCell ref="A4:A5"/>
    <mergeCell ref="A32:B32"/>
    <mergeCell ref="A30:B30"/>
    <mergeCell ref="A31:B31"/>
    <mergeCell ref="F26:G26"/>
    <mergeCell ref="F29:G29"/>
    <mergeCell ref="A27:B27"/>
    <mergeCell ref="F28:G28"/>
    <mergeCell ref="A26:B26"/>
    <mergeCell ref="F4:G4"/>
    <mergeCell ref="A28:B28"/>
    <mergeCell ref="F41:G41"/>
    <mergeCell ref="F36:G36"/>
    <mergeCell ref="F37:G37"/>
    <mergeCell ref="F38:G38"/>
    <mergeCell ref="F39:G39"/>
    <mergeCell ref="F40:G40"/>
    <mergeCell ref="F6:G6"/>
    <mergeCell ref="A33:B33"/>
    <mergeCell ref="J35:M35"/>
    <mergeCell ref="H30:L30"/>
    <mergeCell ref="F33:G33"/>
    <mergeCell ref="F31:G31"/>
    <mergeCell ref="F32:G32"/>
    <mergeCell ref="F27:G27"/>
    <mergeCell ref="F30:G30"/>
  </mergeCells>
  <printOptions/>
  <pageMargins left="0.07874015748031496" right="0" top="0.1968503937007874" bottom="0.1968503937007874" header="0" footer="0.118110236220472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V10" sqref="V10"/>
    </sheetView>
  </sheetViews>
  <sheetFormatPr defaultColWidth="9.140625" defaultRowHeight="21.75"/>
  <cols>
    <col min="4" max="4" width="26.28125" style="0" customWidth="1"/>
    <col min="5" max="5" width="10.57421875" style="0" customWidth="1"/>
    <col min="6" max="6" width="17.421875" style="0" customWidth="1"/>
    <col min="7" max="7" width="17.8515625" style="0" customWidth="1"/>
  </cols>
  <sheetData>
    <row r="1" spans="1:7" ht="22.5">
      <c r="A1" s="568" t="s">
        <v>110</v>
      </c>
      <c r="B1" s="569"/>
      <c r="C1" s="569"/>
      <c r="D1" s="569"/>
      <c r="E1" s="569"/>
      <c r="F1" s="569"/>
      <c r="G1" s="569"/>
    </row>
    <row r="2" spans="1:7" ht="22.5">
      <c r="A2" s="568" t="s">
        <v>156</v>
      </c>
      <c r="B2" s="568"/>
      <c r="C2" s="568"/>
      <c r="D2" s="568"/>
      <c r="E2" s="568"/>
      <c r="F2" s="568"/>
      <c r="G2" s="568"/>
    </row>
    <row r="3" spans="1:7" ht="22.5">
      <c r="A3" s="570" t="s">
        <v>278</v>
      </c>
      <c r="B3" s="570"/>
      <c r="C3" s="570"/>
      <c r="D3" s="570"/>
      <c r="E3" s="570"/>
      <c r="F3" s="570"/>
      <c r="G3" s="570"/>
    </row>
    <row r="4" spans="1:7" ht="22.5">
      <c r="A4" s="565" t="s">
        <v>52</v>
      </c>
      <c r="B4" s="566"/>
      <c r="C4" s="566"/>
      <c r="D4" s="567"/>
      <c r="E4" s="104" t="s">
        <v>51</v>
      </c>
      <c r="F4" s="104" t="s">
        <v>98</v>
      </c>
      <c r="G4" s="104" t="s">
        <v>102</v>
      </c>
    </row>
    <row r="5" spans="1:7" ht="22.5">
      <c r="A5" s="105" t="s">
        <v>122</v>
      </c>
      <c r="B5" s="106"/>
      <c r="C5" s="106"/>
      <c r="D5" s="107"/>
      <c r="E5" s="108" t="s">
        <v>109</v>
      </c>
      <c r="F5" s="109">
        <v>3930</v>
      </c>
      <c r="G5" s="110"/>
    </row>
    <row r="6" spans="1:7" ht="22.5">
      <c r="A6" s="562" t="s">
        <v>162</v>
      </c>
      <c r="B6" s="563"/>
      <c r="C6" s="563"/>
      <c r="D6" s="564"/>
      <c r="E6" s="111" t="s">
        <v>82</v>
      </c>
      <c r="F6" s="112">
        <v>29250070.05</v>
      </c>
      <c r="G6" s="113"/>
    </row>
    <row r="7" spans="1:7" ht="22.5">
      <c r="A7" s="562" t="s">
        <v>163</v>
      </c>
      <c r="B7" s="563"/>
      <c r="C7" s="563"/>
      <c r="D7" s="564"/>
      <c r="E7" s="114" t="s">
        <v>83</v>
      </c>
      <c r="F7" s="112">
        <v>24765635.84</v>
      </c>
      <c r="G7" s="113"/>
    </row>
    <row r="8" spans="1:7" ht="22.5">
      <c r="A8" s="562" t="s">
        <v>165</v>
      </c>
      <c r="B8" s="563"/>
      <c r="C8" s="563"/>
      <c r="D8" s="564"/>
      <c r="E8" s="114" t="s">
        <v>84</v>
      </c>
      <c r="F8" s="115">
        <v>6635.22</v>
      </c>
      <c r="G8" s="113"/>
    </row>
    <row r="9" spans="1:7" ht="22.5">
      <c r="A9" s="562" t="s">
        <v>164</v>
      </c>
      <c r="B9" s="563"/>
      <c r="C9" s="563"/>
      <c r="D9" s="564"/>
      <c r="E9" s="114" t="s">
        <v>82</v>
      </c>
      <c r="F9" s="112">
        <v>6677607.68</v>
      </c>
      <c r="G9" s="113"/>
    </row>
    <row r="10" spans="1:7" ht="22.5">
      <c r="A10" s="562" t="s">
        <v>161</v>
      </c>
      <c r="B10" s="563"/>
      <c r="C10" s="563"/>
      <c r="D10" s="564"/>
      <c r="E10" s="114" t="s">
        <v>82</v>
      </c>
      <c r="F10" s="116">
        <v>5473932.82</v>
      </c>
      <c r="G10" s="113"/>
    </row>
    <row r="11" spans="1:7" ht="22.5">
      <c r="A11" s="562" t="s">
        <v>99</v>
      </c>
      <c r="B11" s="563"/>
      <c r="C11" s="563"/>
      <c r="D11" s="564"/>
      <c r="E11" s="114" t="s">
        <v>112</v>
      </c>
      <c r="F11" s="116">
        <v>13390056.28</v>
      </c>
      <c r="G11" s="113"/>
    </row>
    <row r="12" spans="1:7" ht="22.5">
      <c r="A12" s="117" t="s">
        <v>26</v>
      </c>
      <c r="B12" s="118"/>
      <c r="C12" s="118"/>
      <c r="D12" s="119"/>
      <c r="E12" s="114" t="s">
        <v>59</v>
      </c>
      <c r="F12" s="120">
        <v>0</v>
      </c>
      <c r="G12" s="113"/>
    </row>
    <row r="13" spans="1:7" ht="22.5">
      <c r="A13" s="117" t="s">
        <v>27</v>
      </c>
      <c r="B13" s="118"/>
      <c r="C13" s="118"/>
      <c r="D13" s="119"/>
      <c r="E13" s="114" t="s">
        <v>85</v>
      </c>
      <c r="F13" s="120">
        <v>0</v>
      </c>
      <c r="G13" s="113"/>
    </row>
    <row r="14" spans="1:7" ht="22.5">
      <c r="A14" s="117" t="s">
        <v>28</v>
      </c>
      <c r="B14" s="118"/>
      <c r="C14" s="118"/>
      <c r="D14" s="119"/>
      <c r="E14" s="114" t="s">
        <v>86</v>
      </c>
      <c r="F14" s="120">
        <v>0</v>
      </c>
      <c r="G14" s="113"/>
    </row>
    <row r="15" spans="1:7" ht="22.5">
      <c r="A15" s="117" t="s">
        <v>29</v>
      </c>
      <c r="B15" s="118"/>
      <c r="C15" s="118"/>
      <c r="D15" s="119"/>
      <c r="E15" s="114" t="s">
        <v>87</v>
      </c>
      <c r="F15" s="120">
        <v>0</v>
      </c>
      <c r="G15" s="113"/>
    </row>
    <row r="16" spans="1:7" ht="22.5">
      <c r="A16" s="117" t="s">
        <v>30</v>
      </c>
      <c r="B16" s="118"/>
      <c r="C16" s="118"/>
      <c r="D16" s="119"/>
      <c r="E16" s="114" t="s">
        <v>88</v>
      </c>
      <c r="F16" s="120">
        <v>0</v>
      </c>
      <c r="G16" s="113"/>
    </row>
    <row r="17" spans="1:7" ht="22.5">
      <c r="A17" s="117" t="s">
        <v>31</v>
      </c>
      <c r="B17" s="118"/>
      <c r="C17" s="118"/>
      <c r="D17" s="119"/>
      <c r="E17" s="114" t="s">
        <v>89</v>
      </c>
      <c r="F17" s="120">
        <v>0</v>
      </c>
      <c r="G17" s="113"/>
    </row>
    <row r="18" spans="1:7" ht="22.5">
      <c r="A18" s="117" t="s">
        <v>32</v>
      </c>
      <c r="B18" s="118"/>
      <c r="C18" s="118"/>
      <c r="D18" s="119"/>
      <c r="E18" s="114" t="s">
        <v>90</v>
      </c>
      <c r="F18" s="120">
        <v>0</v>
      </c>
      <c r="G18" s="113"/>
    </row>
    <row r="19" spans="1:7" ht="22.5">
      <c r="A19" s="117" t="s">
        <v>33</v>
      </c>
      <c r="B19" s="118"/>
      <c r="C19" s="118"/>
      <c r="D19" s="119"/>
      <c r="E19" s="114" t="s">
        <v>91</v>
      </c>
      <c r="F19" s="120">
        <v>0</v>
      </c>
      <c r="G19" s="113"/>
    </row>
    <row r="20" spans="1:7" ht="22.5">
      <c r="A20" s="117" t="s">
        <v>14</v>
      </c>
      <c r="B20" s="118"/>
      <c r="C20" s="118"/>
      <c r="D20" s="119"/>
      <c r="E20" s="114" t="s">
        <v>105</v>
      </c>
      <c r="F20" s="120">
        <v>0</v>
      </c>
      <c r="G20" s="113"/>
    </row>
    <row r="21" spans="1:7" ht="22.5">
      <c r="A21" s="117" t="s">
        <v>34</v>
      </c>
      <c r="B21" s="118"/>
      <c r="C21" s="118"/>
      <c r="D21" s="119"/>
      <c r="E21" s="114" t="s">
        <v>106</v>
      </c>
      <c r="F21" s="120">
        <v>0</v>
      </c>
      <c r="G21" s="113"/>
    </row>
    <row r="22" spans="1:7" ht="22.5">
      <c r="A22" s="117" t="s">
        <v>35</v>
      </c>
      <c r="B22" s="118"/>
      <c r="C22" s="118"/>
      <c r="D22" s="119"/>
      <c r="E22" s="114" t="s">
        <v>101</v>
      </c>
      <c r="F22" s="120">
        <v>0</v>
      </c>
      <c r="G22" s="121"/>
    </row>
    <row r="23" spans="1:7" ht="22.5">
      <c r="A23" s="117" t="s">
        <v>80</v>
      </c>
      <c r="B23" s="118"/>
      <c r="C23" s="118"/>
      <c r="D23" s="119"/>
      <c r="E23" s="114" t="s">
        <v>92</v>
      </c>
      <c r="F23" s="120">
        <v>0</v>
      </c>
      <c r="G23" s="121"/>
    </row>
    <row r="24" spans="1:7" ht="22.5">
      <c r="A24" s="117" t="s">
        <v>140</v>
      </c>
      <c r="B24" s="118"/>
      <c r="C24" s="118"/>
      <c r="D24" s="119"/>
      <c r="E24" s="114" t="s">
        <v>155</v>
      </c>
      <c r="F24" s="120">
        <f>15710200</f>
        <v>15710200</v>
      </c>
      <c r="G24" s="121"/>
    </row>
    <row r="25" spans="1:7" ht="22.5">
      <c r="A25" s="117" t="s">
        <v>136</v>
      </c>
      <c r="B25" s="118"/>
      <c r="C25" s="118"/>
      <c r="D25" s="119"/>
      <c r="E25" s="114" t="s">
        <v>154</v>
      </c>
      <c r="F25" s="120"/>
      <c r="G25" s="121">
        <v>8086941.55</v>
      </c>
    </row>
    <row r="26" spans="1:7" ht="22.5">
      <c r="A26" s="117" t="s">
        <v>275</v>
      </c>
      <c r="B26" s="118"/>
      <c r="C26" s="118"/>
      <c r="D26" s="119"/>
      <c r="E26" s="114" t="s">
        <v>94</v>
      </c>
      <c r="F26" s="120"/>
      <c r="G26" s="121">
        <v>3865631.84</v>
      </c>
    </row>
    <row r="27" spans="1:7" ht="22.5">
      <c r="A27" s="117" t="s">
        <v>276</v>
      </c>
      <c r="B27" s="118"/>
      <c r="C27" s="118"/>
      <c r="D27" s="119"/>
      <c r="E27" s="114" t="s">
        <v>111</v>
      </c>
      <c r="F27" s="120"/>
      <c r="G27" s="121">
        <v>900000</v>
      </c>
    </row>
    <row r="28" spans="1:7" ht="22.5">
      <c r="A28" s="117" t="s">
        <v>261</v>
      </c>
      <c r="B28" s="118"/>
      <c r="C28" s="118"/>
      <c r="D28" s="119"/>
      <c r="E28" s="114" t="s">
        <v>262</v>
      </c>
      <c r="F28" s="120"/>
      <c r="G28" s="121">
        <v>241000</v>
      </c>
    </row>
    <row r="29" spans="1:7" ht="22.5">
      <c r="A29" s="117" t="s">
        <v>36</v>
      </c>
      <c r="B29" s="118"/>
      <c r="C29" s="118"/>
      <c r="D29" s="119"/>
      <c r="E29" s="114" t="s">
        <v>95</v>
      </c>
      <c r="F29" s="120"/>
      <c r="G29" s="121">
        <v>55640925.54</v>
      </c>
    </row>
    <row r="30" spans="1:7" ht="22.5">
      <c r="A30" s="117" t="s">
        <v>120</v>
      </c>
      <c r="B30" s="118"/>
      <c r="C30" s="118"/>
      <c r="D30" s="119"/>
      <c r="E30" s="114" t="s">
        <v>97</v>
      </c>
      <c r="F30" s="120"/>
      <c r="G30" s="122">
        <v>25835456.93</v>
      </c>
    </row>
    <row r="31" spans="1:7" ht="22.5">
      <c r="A31" s="117" t="s">
        <v>158</v>
      </c>
      <c r="B31" s="118"/>
      <c r="C31" s="118"/>
      <c r="D31" s="119"/>
      <c r="E31" s="114" t="s">
        <v>93</v>
      </c>
      <c r="F31" s="120"/>
      <c r="G31" s="120">
        <v>0</v>
      </c>
    </row>
    <row r="32" spans="1:7" ht="22.5">
      <c r="A32" s="123" t="s">
        <v>166</v>
      </c>
      <c r="B32" s="124" t="s">
        <v>167</v>
      </c>
      <c r="C32" s="124"/>
      <c r="D32" s="125"/>
      <c r="E32" s="108" t="s">
        <v>96</v>
      </c>
      <c r="F32" s="126"/>
      <c r="G32" s="121">
        <f>22262.43+286441+43008.6+20000+8000+70400+258000</f>
        <v>708112.03</v>
      </c>
    </row>
    <row r="33" spans="1:7" ht="23.25" thickBot="1">
      <c r="A33" s="127"/>
      <c r="B33" s="127"/>
      <c r="C33" s="127"/>
      <c r="D33" s="127"/>
      <c r="E33" s="128"/>
      <c r="F33" s="129">
        <f>SUM(F5:F32)</f>
        <v>95278067.89</v>
      </c>
      <c r="G33" s="130">
        <f>SUM(G5:G32)</f>
        <v>95278067.89000002</v>
      </c>
    </row>
    <row r="34" spans="1:7" ht="23.25" thickTop="1">
      <c r="A34" s="127"/>
      <c r="B34" s="127"/>
      <c r="C34" s="127"/>
      <c r="D34" s="127"/>
      <c r="E34" s="127"/>
      <c r="F34" s="131"/>
      <c r="G34" s="144"/>
    </row>
    <row r="35" spans="1:7" ht="22.5">
      <c r="A35" s="133"/>
      <c r="B35" s="133"/>
      <c r="C35" s="133"/>
      <c r="D35" s="133"/>
      <c r="E35" s="127"/>
      <c r="F35" s="131"/>
      <c r="G35" s="132"/>
    </row>
    <row r="36" spans="1:7" ht="22.5">
      <c r="A36" s="134" t="s">
        <v>281</v>
      </c>
      <c r="B36" s="134"/>
      <c r="C36" s="134"/>
      <c r="D36" s="134"/>
      <c r="E36" s="134"/>
      <c r="F36" s="134"/>
      <c r="G36" s="134"/>
    </row>
    <row r="37" spans="1:7" ht="22.5">
      <c r="A37" s="134" t="s">
        <v>157</v>
      </c>
      <c r="B37" s="134"/>
      <c r="C37" s="134"/>
      <c r="D37" s="134"/>
      <c r="E37" s="134"/>
      <c r="F37" s="134"/>
      <c r="G37" s="134"/>
    </row>
    <row r="38" spans="1:7" ht="24.75">
      <c r="A38" s="53"/>
      <c r="B38" s="53"/>
      <c r="C38" s="53"/>
      <c r="D38" s="53"/>
      <c r="E38" s="56"/>
      <c r="F38" s="56"/>
      <c r="G38" s="56"/>
    </row>
    <row r="39" spans="1:7" ht="24.75">
      <c r="A39" s="53"/>
      <c r="B39" s="53"/>
      <c r="C39" s="53"/>
      <c r="D39" s="53"/>
      <c r="E39" s="53"/>
      <c r="F39" s="54"/>
      <c r="G39" s="55"/>
    </row>
    <row r="40" spans="1:7" ht="24.75">
      <c r="A40" s="57"/>
      <c r="B40" s="57"/>
      <c r="C40" s="57"/>
      <c r="D40" s="57"/>
      <c r="E40" s="53"/>
      <c r="F40" s="54"/>
      <c r="G40" s="55"/>
    </row>
    <row r="41" spans="1:7" ht="24.75">
      <c r="A41" s="57"/>
      <c r="B41" s="57"/>
      <c r="C41" s="57"/>
      <c r="D41" s="57"/>
      <c r="E41" s="57"/>
      <c r="F41" s="57"/>
      <c r="G41" s="57"/>
    </row>
    <row r="42" spans="1:7" ht="24.75">
      <c r="A42" s="57"/>
      <c r="B42" s="57"/>
      <c r="C42" s="57"/>
      <c r="D42" s="57"/>
      <c r="E42" s="57"/>
      <c r="F42" s="57"/>
      <c r="G42" s="57"/>
    </row>
  </sheetData>
  <sheetProtection/>
  <mergeCells count="10">
    <mergeCell ref="A8:D8"/>
    <mergeCell ref="A9:D9"/>
    <mergeCell ref="A4:D4"/>
    <mergeCell ref="A10:D10"/>
    <mergeCell ref="A11:D11"/>
    <mergeCell ref="A1:G1"/>
    <mergeCell ref="A2:G2"/>
    <mergeCell ref="A3:G3"/>
    <mergeCell ref="A6:D6"/>
    <mergeCell ref="A7:D7"/>
  </mergeCell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2"/>
  <sheetViews>
    <sheetView zoomScalePageLayoutView="0" workbookViewId="0" topLeftCell="A7">
      <selection activeCell="A1" sqref="A1:K29"/>
    </sheetView>
  </sheetViews>
  <sheetFormatPr defaultColWidth="9.140625" defaultRowHeight="21.75"/>
  <cols>
    <col min="1" max="1" width="12.421875" style="183" customWidth="1"/>
    <col min="2" max="2" width="2.421875" style="183" hidden="1" customWidth="1"/>
    <col min="3" max="3" width="0.42578125" style="183" hidden="1" customWidth="1"/>
    <col min="4" max="4" width="12.421875" style="183" customWidth="1"/>
    <col min="5" max="5" width="11.140625" style="183" customWidth="1"/>
    <col min="6" max="6" width="12.421875" style="183" customWidth="1"/>
    <col min="7" max="7" width="29.8515625" style="183" customWidth="1"/>
    <col min="8" max="8" width="0.13671875" style="183" hidden="1" customWidth="1"/>
    <col min="9" max="9" width="1.57421875" style="183" hidden="1" customWidth="1"/>
    <col min="10" max="10" width="11.57421875" style="183" customWidth="1"/>
    <col min="11" max="11" width="17.421875" style="183" customWidth="1"/>
    <col min="12" max="12" width="9.140625" style="183" customWidth="1"/>
    <col min="13" max="13" width="19.140625" style="183" customWidth="1"/>
    <col min="14" max="15" width="17.28125" style="183" customWidth="1"/>
    <col min="16" max="16" width="16.57421875" style="183" customWidth="1"/>
    <col min="17" max="16384" width="9.140625" style="183" customWidth="1"/>
  </cols>
  <sheetData>
    <row r="1" spans="1:11" ht="11.25" customHeight="1">
      <c r="A1" s="182" t="s">
        <v>6</v>
      </c>
      <c r="B1" s="182"/>
      <c r="C1" s="182"/>
      <c r="D1" s="182"/>
      <c r="E1" s="182"/>
      <c r="F1" s="182"/>
      <c r="G1" s="182"/>
      <c r="H1" s="182"/>
      <c r="I1" s="182" t="s">
        <v>20</v>
      </c>
      <c r="J1" s="182"/>
      <c r="K1" s="182" t="s">
        <v>6</v>
      </c>
    </row>
    <row r="2" spans="1:11" ht="19.5" customHeight="1">
      <c r="A2" s="444" t="s">
        <v>60</v>
      </c>
      <c r="B2" s="445"/>
      <c r="C2" s="445"/>
      <c r="D2" s="445"/>
      <c r="E2" s="445"/>
      <c r="F2" s="446"/>
      <c r="G2" s="451" t="s">
        <v>69</v>
      </c>
      <c r="H2" s="184"/>
      <c r="I2" s="184"/>
      <c r="J2" s="185" t="s">
        <v>0</v>
      </c>
      <c r="K2" s="186" t="s">
        <v>72</v>
      </c>
    </row>
    <row r="3" spans="1:11" ht="19.5" customHeight="1">
      <c r="A3" s="447" t="s">
        <v>23</v>
      </c>
      <c r="B3" s="448"/>
      <c r="C3" s="187"/>
      <c r="D3" s="185" t="s">
        <v>286</v>
      </c>
      <c r="E3" s="188" t="s">
        <v>50</v>
      </c>
      <c r="F3" s="189" t="s">
        <v>21</v>
      </c>
      <c r="G3" s="452"/>
      <c r="H3" s="187"/>
      <c r="I3" s="187"/>
      <c r="J3" s="189" t="s">
        <v>1</v>
      </c>
      <c r="K3" s="190" t="s">
        <v>24</v>
      </c>
    </row>
    <row r="4" spans="1:11" ht="19.5" customHeight="1">
      <c r="A4" s="449" t="s">
        <v>22</v>
      </c>
      <c r="B4" s="450"/>
      <c r="C4" s="192"/>
      <c r="D4" s="189" t="s">
        <v>287</v>
      </c>
      <c r="E4" s="191" t="s">
        <v>22</v>
      </c>
      <c r="F4" s="193" t="s">
        <v>22</v>
      </c>
      <c r="G4" s="453"/>
      <c r="H4" s="192"/>
      <c r="I4" s="192"/>
      <c r="J4" s="194"/>
      <c r="K4" s="195"/>
    </row>
    <row r="5" spans="1:11" ht="19.5" customHeight="1">
      <c r="A5" s="196"/>
      <c r="B5" s="197"/>
      <c r="C5" s="198"/>
      <c r="D5" s="199"/>
      <c r="E5" s="198"/>
      <c r="F5" s="200"/>
      <c r="G5" s="201" t="s">
        <v>25</v>
      </c>
      <c r="H5" s="198"/>
      <c r="I5" s="198"/>
      <c r="J5" s="202"/>
      <c r="K5" s="197"/>
    </row>
    <row r="6" spans="1:13" ht="19.5" customHeight="1">
      <c r="A6" s="203">
        <v>12106248</v>
      </c>
      <c r="B6" s="204"/>
      <c r="C6" s="205"/>
      <c r="D6" s="204"/>
      <c r="E6" s="206">
        <f>A6+D6</f>
        <v>12106248</v>
      </c>
      <c r="F6" s="203">
        <v>2210212</v>
      </c>
      <c r="G6" s="205" t="s">
        <v>26</v>
      </c>
      <c r="H6" s="205"/>
      <c r="I6" s="205"/>
      <c r="J6" s="207" t="s">
        <v>312</v>
      </c>
      <c r="K6" s="203">
        <v>1202112</v>
      </c>
      <c r="M6" s="208"/>
    </row>
    <row r="7" spans="1:15" ht="19.5" customHeight="1">
      <c r="A7" s="203">
        <v>4126320</v>
      </c>
      <c r="B7" s="204"/>
      <c r="C7" s="205"/>
      <c r="D7" s="204"/>
      <c r="E7" s="206">
        <f aca="true" t="shared" si="0" ref="E7:E16">A7+D7</f>
        <v>4126320</v>
      </c>
      <c r="F7" s="203">
        <v>673320</v>
      </c>
      <c r="G7" s="205" t="s">
        <v>331</v>
      </c>
      <c r="H7" s="205"/>
      <c r="I7" s="205"/>
      <c r="J7" s="207" t="s">
        <v>313</v>
      </c>
      <c r="K7" s="209">
        <v>336660</v>
      </c>
      <c r="M7" s="210">
        <f>F7+F8</f>
        <v>1977930</v>
      </c>
      <c r="O7" s="211"/>
    </row>
    <row r="8" spans="1:15" ht="19.5" customHeight="1">
      <c r="A8" s="203">
        <v>8542380</v>
      </c>
      <c r="B8" s="204"/>
      <c r="C8" s="205"/>
      <c r="D8" s="204"/>
      <c r="E8" s="206">
        <f t="shared" si="0"/>
        <v>8542380</v>
      </c>
      <c r="F8" s="203">
        <v>1304610</v>
      </c>
      <c r="G8" s="205" t="s">
        <v>332</v>
      </c>
      <c r="H8" s="205"/>
      <c r="I8" s="205"/>
      <c r="J8" s="207" t="s">
        <v>328</v>
      </c>
      <c r="K8" s="209">
        <v>652305</v>
      </c>
      <c r="M8" s="212">
        <f>2750880+4795340</f>
        <v>7546220</v>
      </c>
      <c r="N8" s="208"/>
      <c r="O8" s="211"/>
    </row>
    <row r="9" spans="1:15" ht="19.5" customHeight="1">
      <c r="A9" s="203">
        <v>895000</v>
      </c>
      <c r="B9" s="204"/>
      <c r="C9" s="205"/>
      <c r="D9" s="204"/>
      <c r="E9" s="206">
        <f t="shared" si="0"/>
        <v>895000</v>
      </c>
      <c r="F9" s="203">
        <v>2400</v>
      </c>
      <c r="G9" s="205" t="s">
        <v>30</v>
      </c>
      <c r="H9" s="205"/>
      <c r="I9" s="205"/>
      <c r="J9" s="207" t="s">
        <v>314</v>
      </c>
      <c r="K9" s="209">
        <v>2400</v>
      </c>
      <c r="M9" s="208"/>
      <c r="N9" s="211"/>
      <c r="O9" s="211"/>
    </row>
    <row r="10" spans="1:15" ht="19.5" customHeight="1">
      <c r="A10" s="203">
        <v>4394045</v>
      </c>
      <c r="B10" s="204"/>
      <c r="C10" s="205"/>
      <c r="D10" s="204"/>
      <c r="E10" s="206">
        <f t="shared" si="0"/>
        <v>4394045</v>
      </c>
      <c r="F10" s="203">
        <v>752164.2</v>
      </c>
      <c r="G10" s="205" t="s">
        <v>31</v>
      </c>
      <c r="H10" s="213">
        <v>1609870</v>
      </c>
      <c r="I10" s="205"/>
      <c r="J10" s="207" t="s">
        <v>315</v>
      </c>
      <c r="K10" s="209">
        <v>125180</v>
      </c>
      <c r="M10" s="208">
        <f>F10-2121116.05</f>
        <v>-1368951.8499999999</v>
      </c>
      <c r="N10" s="211"/>
      <c r="O10" s="211"/>
    </row>
    <row r="11" spans="1:15" ht="19.5" customHeight="1">
      <c r="A11" s="203">
        <v>2496307</v>
      </c>
      <c r="B11" s="204"/>
      <c r="C11" s="205"/>
      <c r="D11" s="204"/>
      <c r="E11" s="206">
        <f t="shared" si="0"/>
        <v>2496307</v>
      </c>
      <c r="F11" s="203">
        <v>20993</v>
      </c>
      <c r="G11" s="205" t="s">
        <v>32</v>
      </c>
      <c r="H11" s="213">
        <v>955440</v>
      </c>
      <c r="I11" s="205"/>
      <c r="J11" s="207" t="s">
        <v>316</v>
      </c>
      <c r="K11" s="209">
        <v>20993</v>
      </c>
      <c r="M11" s="208"/>
      <c r="N11" s="211"/>
      <c r="O11" s="211"/>
    </row>
    <row r="12" spans="1:15" ht="19.5" customHeight="1">
      <c r="A12" s="203">
        <v>435000</v>
      </c>
      <c r="B12" s="204"/>
      <c r="C12" s="205"/>
      <c r="D12" s="204"/>
      <c r="E12" s="206">
        <f t="shared" si="0"/>
        <v>435000</v>
      </c>
      <c r="F12" s="203">
        <v>35390.89</v>
      </c>
      <c r="G12" s="205" t="s">
        <v>33</v>
      </c>
      <c r="H12" s="213">
        <v>459600</v>
      </c>
      <c r="I12" s="205"/>
      <c r="J12" s="207" t="s">
        <v>317</v>
      </c>
      <c r="K12" s="209">
        <v>10221.07</v>
      </c>
      <c r="M12" s="208"/>
      <c r="N12" s="211"/>
      <c r="O12" s="211"/>
    </row>
    <row r="13" spans="1:15" ht="19.5" customHeight="1">
      <c r="A13" s="203">
        <v>3235500</v>
      </c>
      <c r="B13" s="204"/>
      <c r="C13" s="205"/>
      <c r="D13" s="204"/>
      <c r="E13" s="206">
        <f t="shared" si="0"/>
        <v>3235500</v>
      </c>
      <c r="F13" s="203">
        <v>1030000</v>
      </c>
      <c r="G13" s="205" t="s">
        <v>14</v>
      </c>
      <c r="H13" s="213">
        <v>984000</v>
      </c>
      <c r="I13" s="205"/>
      <c r="J13" s="207" t="s">
        <v>318</v>
      </c>
      <c r="K13" s="203">
        <v>0</v>
      </c>
      <c r="M13" s="208"/>
      <c r="O13" s="211"/>
    </row>
    <row r="14" spans="1:15" ht="19.5" customHeight="1">
      <c r="A14" s="203"/>
      <c r="B14" s="204"/>
      <c r="C14" s="205"/>
      <c r="D14" s="204"/>
      <c r="E14" s="206">
        <f t="shared" si="0"/>
        <v>0</v>
      </c>
      <c r="F14" s="203">
        <f>K14</f>
        <v>0</v>
      </c>
      <c r="G14" s="205" t="s">
        <v>80</v>
      </c>
      <c r="H14" s="213"/>
      <c r="I14" s="205"/>
      <c r="J14" s="207" t="s">
        <v>333</v>
      </c>
      <c r="K14" s="203"/>
      <c r="M14" s="208"/>
      <c r="O14" s="211"/>
    </row>
    <row r="15" spans="1:15" ht="19.5" customHeight="1">
      <c r="A15" s="203">
        <v>1270200</v>
      </c>
      <c r="B15" s="204"/>
      <c r="C15" s="205"/>
      <c r="D15" s="204"/>
      <c r="E15" s="206">
        <f t="shared" si="0"/>
        <v>1270200</v>
      </c>
      <c r="F15" s="203">
        <f>K15</f>
        <v>0</v>
      </c>
      <c r="G15" s="205" t="s">
        <v>34</v>
      </c>
      <c r="H15" s="213">
        <v>908156</v>
      </c>
      <c r="I15" s="205"/>
      <c r="J15" s="207" t="s">
        <v>319</v>
      </c>
      <c r="K15" s="203"/>
      <c r="M15" s="208"/>
      <c r="O15" s="211"/>
    </row>
    <row r="16" spans="1:15" ht="19.5" customHeight="1">
      <c r="A16" s="203">
        <v>3692000</v>
      </c>
      <c r="B16" s="214"/>
      <c r="C16" s="215"/>
      <c r="D16" s="216"/>
      <c r="E16" s="206">
        <f t="shared" si="0"/>
        <v>3692000</v>
      </c>
      <c r="F16" s="203">
        <f>K16</f>
        <v>0</v>
      </c>
      <c r="G16" s="205" t="s">
        <v>35</v>
      </c>
      <c r="H16" s="213"/>
      <c r="I16" s="205"/>
      <c r="J16" s="207" t="s">
        <v>320</v>
      </c>
      <c r="K16" s="203"/>
      <c r="M16" s="208"/>
      <c r="O16" s="211"/>
    </row>
    <row r="17" spans="1:15" ht="19.5" customHeight="1" thickBot="1">
      <c r="A17" s="217">
        <f>SUM(A6:A16)</f>
        <v>41193000</v>
      </c>
      <c r="B17" s="218"/>
      <c r="C17" s="219"/>
      <c r="D17" s="220">
        <f>SUM(D6:D16)</f>
        <v>0</v>
      </c>
      <c r="E17" s="221">
        <f>SUM(E6:E16)</f>
        <v>41193000</v>
      </c>
      <c r="F17" s="222">
        <f>SUM(F5:F16)</f>
        <v>6029090.09</v>
      </c>
      <c r="G17" s="205"/>
      <c r="H17" s="213"/>
      <c r="I17" s="205"/>
      <c r="J17" s="207"/>
      <c r="K17" s="222">
        <f>SUM(K6:K16)</f>
        <v>2349871.07</v>
      </c>
      <c r="M17" s="223"/>
      <c r="N17" s="208"/>
      <c r="O17" s="211"/>
    </row>
    <row r="18" spans="1:19" ht="19.5" customHeight="1" thickTop="1">
      <c r="A18" s="224"/>
      <c r="B18" s="225"/>
      <c r="C18" s="226"/>
      <c r="D18" s="226"/>
      <c r="E18" s="226"/>
      <c r="F18" s="227">
        <f>80.34+11871.9+13382+9050</f>
        <v>34384.24</v>
      </c>
      <c r="G18" s="205" t="s">
        <v>16</v>
      </c>
      <c r="H18" s="213">
        <v>634400</v>
      </c>
      <c r="I18" s="205"/>
      <c r="J18" s="207" t="s">
        <v>324</v>
      </c>
      <c r="K18" s="13">
        <f>80.34+13382</f>
        <v>13462.34</v>
      </c>
      <c r="M18" s="223"/>
      <c r="N18" s="228">
        <f>137036.13+493906+464373+24353.5</f>
        <v>1119668.63</v>
      </c>
      <c r="O18" s="205"/>
      <c r="P18" s="205"/>
      <c r="Q18" s="205"/>
      <c r="R18" s="229"/>
      <c r="S18" s="230"/>
    </row>
    <row r="19" spans="1:15" ht="19.5" customHeight="1">
      <c r="A19" s="223"/>
      <c r="B19" s="231"/>
      <c r="C19" s="205"/>
      <c r="D19" s="226"/>
      <c r="E19" s="226"/>
      <c r="F19" s="227"/>
      <c r="G19" s="205" t="s">
        <v>122</v>
      </c>
      <c r="H19" s="213"/>
      <c r="I19" s="205"/>
      <c r="J19" s="207" t="s">
        <v>300</v>
      </c>
      <c r="K19" s="203"/>
      <c r="M19" s="223"/>
      <c r="N19" s="183" t="s">
        <v>277</v>
      </c>
      <c r="O19" s="211">
        <f>O17-O15</f>
        <v>0</v>
      </c>
    </row>
    <row r="20" spans="1:14" ht="19.5" customHeight="1">
      <c r="A20" s="223"/>
      <c r="B20" s="231"/>
      <c r="C20" s="205"/>
      <c r="D20" s="226"/>
      <c r="E20" s="226"/>
      <c r="F20" s="227">
        <f>236480</f>
        <v>236480</v>
      </c>
      <c r="G20" s="205" t="s">
        <v>400</v>
      </c>
      <c r="H20" s="205"/>
      <c r="I20" s="205"/>
      <c r="J20" s="229">
        <v>113100</v>
      </c>
      <c r="K20" s="203">
        <v>129020</v>
      </c>
      <c r="M20" s="223"/>
      <c r="N20" s="183" t="s">
        <v>407</v>
      </c>
    </row>
    <row r="21" spans="1:13" ht="19.5" customHeight="1">
      <c r="A21" s="223"/>
      <c r="B21" s="231"/>
      <c r="C21" s="205"/>
      <c r="D21" s="226"/>
      <c r="E21" s="226"/>
      <c r="F21" s="227"/>
      <c r="G21" s="205" t="s">
        <v>421</v>
      </c>
      <c r="H21" s="205"/>
      <c r="I21" s="205"/>
      <c r="J21" s="229">
        <v>11043002</v>
      </c>
      <c r="K21" s="232"/>
      <c r="M21" s="223"/>
    </row>
    <row r="22" spans="1:13" ht="19.5" customHeight="1">
      <c r="A22" s="223"/>
      <c r="B22" s="231"/>
      <c r="C22" s="205"/>
      <c r="D22" s="226"/>
      <c r="E22" s="226"/>
      <c r="F22" s="227">
        <f>K22</f>
        <v>0</v>
      </c>
      <c r="G22" s="205" t="s">
        <v>406</v>
      </c>
      <c r="H22" s="205"/>
      <c r="I22" s="205"/>
      <c r="J22" s="229">
        <v>211000</v>
      </c>
      <c r="K22" s="232"/>
      <c r="M22" s="223"/>
    </row>
    <row r="23" spans="1:13" ht="19.5" customHeight="1">
      <c r="A23" s="223"/>
      <c r="B23" s="231"/>
      <c r="C23" s="205"/>
      <c r="D23" s="215"/>
      <c r="E23" s="215"/>
      <c r="F23" s="227">
        <f>K23</f>
        <v>0</v>
      </c>
      <c r="G23" s="205" t="s">
        <v>36</v>
      </c>
      <c r="H23" s="205"/>
      <c r="I23" s="205"/>
      <c r="J23" s="207" t="s">
        <v>322</v>
      </c>
      <c r="K23" s="233"/>
      <c r="M23" s="223"/>
    </row>
    <row r="24" spans="1:13" ht="19.5" customHeight="1">
      <c r="A24" s="223"/>
      <c r="B24" s="231"/>
      <c r="C24" s="205"/>
      <c r="D24" s="215"/>
      <c r="E24" s="215"/>
      <c r="F24" s="227">
        <f>1710</f>
        <v>1710</v>
      </c>
      <c r="G24" s="8" t="s">
        <v>443</v>
      </c>
      <c r="H24" s="205"/>
      <c r="I24" s="205"/>
      <c r="J24" s="234">
        <v>21030000</v>
      </c>
      <c r="K24" s="232"/>
      <c r="M24" s="223"/>
    </row>
    <row r="25" spans="1:13" ht="19.5" customHeight="1" thickBot="1">
      <c r="A25" s="223"/>
      <c r="B25" s="231"/>
      <c r="C25" s="205"/>
      <c r="D25" s="198"/>
      <c r="E25" s="198"/>
      <c r="F25" s="235">
        <f>SUM(F18:F24)</f>
        <v>272574.24</v>
      </c>
      <c r="G25" s="205"/>
      <c r="H25" s="213"/>
      <c r="I25" s="205"/>
      <c r="J25" s="207"/>
      <c r="K25" s="222">
        <f>SUM(K18:K24)</f>
        <v>142482.34</v>
      </c>
      <c r="M25" s="223"/>
    </row>
    <row r="26" spans="1:11" ht="19.5" customHeight="1" thickTop="1">
      <c r="A26" s="223"/>
      <c r="B26" s="236"/>
      <c r="C26" s="215"/>
      <c r="D26" s="198"/>
      <c r="E26" s="198"/>
      <c r="F26" s="233"/>
      <c r="G26" s="237"/>
      <c r="H26" s="215"/>
      <c r="I26" s="215"/>
      <c r="J26" s="238"/>
      <c r="K26" s="232"/>
    </row>
    <row r="27" spans="1:13" ht="19.5" customHeight="1">
      <c r="A27" s="223"/>
      <c r="B27" s="239"/>
      <c r="C27" s="240"/>
      <c r="D27" s="198"/>
      <c r="E27" s="240"/>
      <c r="F27" s="241">
        <f>SUM(F17+F25)</f>
        <v>6301664.33</v>
      </c>
      <c r="G27" s="441" t="s">
        <v>70</v>
      </c>
      <c r="H27" s="442"/>
      <c r="I27" s="442"/>
      <c r="J27" s="443"/>
      <c r="K27" s="243">
        <f>SUM(K17+K25)</f>
        <v>2492353.4099999997</v>
      </c>
      <c r="M27" s="212"/>
    </row>
    <row r="28" spans="1:14" ht="19.5" customHeight="1">
      <c r="A28" s="244"/>
      <c r="B28" s="245"/>
      <c r="C28" s="240"/>
      <c r="D28" s="198"/>
      <c r="E28" s="381" t="s">
        <v>446</v>
      </c>
      <c r="F28" s="243">
        <v>3146667.9</v>
      </c>
      <c r="G28" s="438" t="s">
        <v>445</v>
      </c>
      <c r="H28" s="439"/>
      <c r="I28" s="439"/>
      <c r="J28" s="440"/>
      <c r="K28" s="246">
        <v>6749674.48</v>
      </c>
      <c r="M28" s="212"/>
      <c r="N28" s="208"/>
    </row>
    <row r="29" spans="1:14" ht="19.5" customHeight="1">
      <c r="A29" s="198"/>
      <c r="B29" s="240"/>
      <c r="C29" s="240"/>
      <c r="D29" s="198"/>
      <c r="E29" s="240"/>
      <c r="F29" s="247">
        <f>รายรับ!F30-รายจ่าย!F27</f>
        <v>27216991.47</v>
      </c>
      <c r="G29" s="441" t="s">
        <v>71</v>
      </c>
      <c r="H29" s="442"/>
      <c r="I29" s="442"/>
      <c r="J29" s="443"/>
      <c r="K29" s="248">
        <f>รายรับ!M30-รายจ่าย!K27</f>
        <v>27216991.469999995</v>
      </c>
      <c r="M29" s="211">
        <f>F29-K29</f>
        <v>0</v>
      </c>
      <c r="N29" s="211"/>
    </row>
    <row r="30" spans="1:14" ht="19.5" customHeight="1">
      <c r="A30" s="182"/>
      <c r="B30" s="182"/>
      <c r="C30" s="182"/>
      <c r="D30" s="182"/>
      <c r="E30" s="182"/>
      <c r="F30" s="249"/>
      <c r="G30" s="198"/>
      <c r="H30" s="198"/>
      <c r="I30" s="198"/>
      <c r="J30" s="242"/>
      <c r="K30" s="249"/>
      <c r="M30" s="208"/>
      <c r="N30" s="208"/>
    </row>
    <row r="31" spans="1:14" ht="21" customHeight="1">
      <c r="A31" s="182"/>
      <c r="B31" s="182"/>
      <c r="C31" s="182"/>
      <c r="D31" s="182"/>
      <c r="E31" s="182"/>
      <c r="F31" s="250"/>
      <c r="G31" s="250"/>
      <c r="H31" s="251">
        <v>273960</v>
      </c>
      <c r="I31" s="182"/>
      <c r="J31" s="182"/>
      <c r="K31" s="182"/>
      <c r="L31" s="252"/>
      <c r="M31" s="212">
        <f>K29-M29</f>
        <v>27216991.469999995</v>
      </c>
      <c r="N31" s="208"/>
    </row>
    <row r="32" spans="1:13" ht="24">
      <c r="A32" s="182"/>
      <c r="B32" s="182"/>
      <c r="C32" s="182"/>
      <c r="D32" s="182"/>
      <c r="E32" s="182"/>
      <c r="F32" s="182"/>
      <c r="G32" s="182"/>
      <c r="H32" s="251">
        <v>74960</v>
      </c>
      <c r="I32" s="182"/>
      <c r="J32" s="182"/>
      <c r="K32" s="250"/>
      <c r="M32" s="212"/>
    </row>
    <row r="33" spans="1:13" ht="24">
      <c r="A33" s="182"/>
      <c r="B33" s="182"/>
      <c r="C33" s="182"/>
      <c r="D33" s="182"/>
      <c r="E33" s="182"/>
      <c r="F33" s="182"/>
      <c r="G33" s="182"/>
      <c r="H33" s="251"/>
      <c r="I33" s="182"/>
      <c r="J33" s="182"/>
      <c r="K33" s="250"/>
      <c r="L33" s="182"/>
      <c r="M33" s="250">
        <f>F29-M29</f>
        <v>27216991.47</v>
      </c>
    </row>
    <row r="34" spans="1:13" ht="24">
      <c r="A34" s="182"/>
      <c r="B34" s="182"/>
      <c r="C34" s="182"/>
      <c r="D34" s="182"/>
      <c r="E34" s="182"/>
      <c r="F34" s="182"/>
      <c r="G34" s="182"/>
      <c r="H34" s="251"/>
      <c r="I34" s="182"/>
      <c r="J34" s="253"/>
      <c r="K34" s="253"/>
      <c r="L34" s="253"/>
      <c r="M34" s="254">
        <f>40486119.12+K27</f>
        <v>42978472.529999994</v>
      </c>
    </row>
    <row r="35" spans="1:13" ht="24">
      <c r="A35" s="255"/>
      <c r="B35" s="182"/>
      <c r="C35" s="182"/>
      <c r="D35" s="182"/>
      <c r="E35" s="182"/>
      <c r="F35" s="437"/>
      <c r="G35" s="437"/>
      <c r="H35" s="182"/>
      <c r="I35" s="182"/>
      <c r="J35" s="182"/>
      <c r="K35" s="182"/>
      <c r="L35" s="182"/>
      <c r="M35" s="182"/>
    </row>
    <row r="36" ht="24">
      <c r="H36" s="256">
        <v>237491</v>
      </c>
    </row>
    <row r="37" ht="24">
      <c r="H37" s="256">
        <v>16966</v>
      </c>
    </row>
    <row r="38" ht="24">
      <c r="H38" s="256">
        <v>9300</v>
      </c>
    </row>
    <row r="39" ht="24">
      <c r="H39" s="256">
        <v>2600</v>
      </c>
    </row>
    <row r="40" ht="24">
      <c r="H40" s="183" t="s">
        <v>7</v>
      </c>
    </row>
    <row r="41" ht="24">
      <c r="H41" s="256">
        <v>9000</v>
      </c>
    </row>
    <row r="42" ht="24">
      <c r="H42" s="256">
        <v>1283151</v>
      </c>
    </row>
    <row r="43" ht="24">
      <c r="H43" s="256">
        <v>161764</v>
      </c>
    </row>
    <row r="44" ht="24">
      <c r="H44" s="256">
        <v>120600</v>
      </c>
    </row>
    <row r="45" ht="24">
      <c r="H45" s="256">
        <v>2900000</v>
      </c>
    </row>
    <row r="49" ht="24">
      <c r="H49" s="256">
        <v>90600</v>
      </c>
    </row>
    <row r="50" ht="24">
      <c r="H50" s="256">
        <v>95485</v>
      </c>
    </row>
    <row r="51" ht="24">
      <c r="H51" s="183">
        <v>260</v>
      </c>
    </row>
    <row r="52" ht="24">
      <c r="H52" s="256">
        <v>1600816</v>
      </c>
    </row>
    <row r="53" spans="8:9" ht="24">
      <c r="H53" s="256">
        <v>145904</v>
      </c>
      <c r="I53" s="183" t="s">
        <v>6</v>
      </c>
    </row>
    <row r="54" ht="24">
      <c r="H54" s="183" t="s">
        <v>7</v>
      </c>
    </row>
    <row r="55" ht="24">
      <c r="H55" s="183" t="s">
        <v>7</v>
      </c>
    </row>
    <row r="56" ht="24">
      <c r="H56" s="183" t="s">
        <v>7</v>
      </c>
    </row>
    <row r="57" ht="24">
      <c r="H57" s="183" t="s">
        <v>7</v>
      </c>
    </row>
    <row r="58" ht="24">
      <c r="H58" s="183" t="s">
        <v>7</v>
      </c>
    </row>
    <row r="59" ht="24">
      <c r="H59" s="183">
        <v>50</v>
      </c>
    </row>
    <row r="60" ht="24">
      <c r="H60" s="183">
        <v>50</v>
      </c>
    </row>
    <row r="61" ht="24">
      <c r="H61" s="183">
        <v>42</v>
      </c>
    </row>
    <row r="62" ht="24">
      <c r="H62" s="183" t="s">
        <v>7</v>
      </c>
    </row>
    <row r="63" ht="24">
      <c r="H63" s="183" t="s">
        <v>7</v>
      </c>
    </row>
    <row r="64" ht="24">
      <c r="H64" s="183" t="s">
        <v>7</v>
      </c>
    </row>
    <row r="65" ht="24">
      <c r="H65" s="183" t="s">
        <v>7</v>
      </c>
    </row>
    <row r="66" ht="24">
      <c r="H66" s="183" t="s">
        <v>7</v>
      </c>
    </row>
    <row r="67" ht="24">
      <c r="H67" s="183">
        <v>63</v>
      </c>
    </row>
    <row r="68" ht="24">
      <c r="H68" s="183" t="s">
        <v>7</v>
      </c>
    </row>
    <row r="69" ht="24">
      <c r="H69" s="183" t="s">
        <v>7</v>
      </c>
    </row>
    <row r="73" ht="24">
      <c r="H73" s="183" t="s">
        <v>7</v>
      </c>
    </row>
    <row r="74" ht="24">
      <c r="H74" s="183" t="s">
        <v>7</v>
      </c>
    </row>
    <row r="75" ht="24">
      <c r="H75" s="183">
        <v>97</v>
      </c>
    </row>
    <row r="76" ht="24">
      <c r="H76" s="183" t="s">
        <v>7</v>
      </c>
    </row>
    <row r="77" spans="8:9" ht="24">
      <c r="H77" s="183">
        <v>70</v>
      </c>
      <c r="I77" s="183" t="s">
        <v>25</v>
      </c>
    </row>
    <row r="78" ht="24">
      <c r="H78" s="183" t="s">
        <v>26</v>
      </c>
    </row>
    <row r="79" ht="24">
      <c r="H79" s="183" t="s">
        <v>27</v>
      </c>
    </row>
    <row r="80" ht="24">
      <c r="H80" s="183" t="s">
        <v>28</v>
      </c>
    </row>
    <row r="81" ht="24">
      <c r="H81" s="183" t="s">
        <v>29</v>
      </c>
    </row>
    <row r="82" ht="24">
      <c r="H82" s="183" t="s">
        <v>30</v>
      </c>
    </row>
    <row r="83" ht="24">
      <c r="H83" s="183" t="s">
        <v>31</v>
      </c>
    </row>
    <row r="84" ht="24">
      <c r="H84" s="183" t="s">
        <v>32</v>
      </c>
    </row>
    <row r="85" ht="24">
      <c r="H85" s="183" t="s">
        <v>33</v>
      </c>
    </row>
    <row r="86" ht="24">
      <c r="H86" s="183" t="s">
        <v>14</v>
      </c>
    </row>
    <row r="87" ht="24">
      <c r="H87" s="183" t="s">
        <v>34</v>
      </c>
    </row>
    <row r="88" ht="24">
      <c r="H88" s="183" t="s">
        <v>35</v>
      </c>
    </row>
    <row r="89" ht="24">
      <c r="H89" s="183" t="s">
        <v>15</v>
      </c>
    </row>
    <row r="90" ht="24">
      <c r="H90" s="183" t="s">
        <v>36</v>
      </c>
    </row>
    <row r="91" ht="24">
      <c r="H91" s="183" t="s">
        <v>16</v>
      </c>
    </row>
    <row r="92" ht="24">
      <c r="H92" s="183" t="s">
        <v>37</v>
      </c>
    </row>
    <row r="93" ht="24">
      <c r="H93" s="183" t="s">
        <v>38</v>
      </c>
    </row>
    <row r="94" ht="24">
      <c r="H94" s="183" t="s">
        <v>39</v>
      </c>
    </row>
    <row r="95" ht="24">
      <c r="H95" s="183" t="s">
        <v>40</v>
      </c>
    </row>
    <row r="96" ht="24">
      <c r="H96" s="183" t="s">
        <v>41</v>
      </c>
    </row>
    <row r="97" ht="24">
      <c r="H97" s="183" t="s">
        <v>42</v>
      </c>
    </row>
    <row r="98" ht="24">
      <c r="H98" s="183" t="s">
        <v>43</v>
      </c>
    </row>
    <row r="99" ht="24">
      <c r="H99" s="183" t="s">
        <v>44</v>
      </c>
    </row>
    <row r="100" ht="24">
      <c r="H100" s="183" t="s">
        <v>45</v>
      </c>
    </row>
    <row r="101" ht="24">
      <c r="H101" s="183" t="s">
        <v>17</v>
      </c>
    </row>
    <row r="102" ht="24">
      <c r="H102" s="183">
        <v>0</v>
      </c>
    </row>
    <row r="103" ht="24">
      <c r="H103" s="183">
        <v>100</v>
      </c>
    </row>
    <row r="104" ht="24">
      <c r="H104" s="183">
        <v>120</v>
      </c>
    </row>
    <row r="105" ht="24">
      <c r="H105" s="183">
        <v>130</v>
      </c>
    </row>
    <row r="106" ht="24">
      <c r="H106" s="183">
        <v>200</v>
      </c>
    </row>
    <row r="107" ht="24">
      <c r="H107" s="183">
        <v>250</v>
      </c>
    </row>
    <row r="108" ht="24">
      <c r="H108" s="183">
        <v>270</v>
      </c>
    </row>
    <row r="109" ht="24">
      <c r="H109" s="183">
        <v>300</v>
      </c>
    </row>
    <row r="110" ht="24">
      <c r="H110" s="183">
        <v>400</v>
      </c>
    </row>
    <row r="111" ht="24">
      <c r="H111" s="183">
        <v>450</v>
      </c>
    </row>
    <row r="112" ht="24">
      <c r="H112" s="183">
        <v>500</v>
      </c>
    </row>
    <row r="113" ht="24">
      <c r="H113" s="183">
        <v>550</v>
      </c>
    </row>
    <row r="114" ht="24">
      <c r="H114" s="183">
        <v>700</v>
      </c>
    </row>
    <row r="115" ht="24">
      <c r="H115" s="183">
        <v>900</v>
      </c>
    </row>
    <row r="116" ht="24">
      <c r="H116" s="183">
        <v>90</v>
      </c>
    </row>
    <row r="117" ht="24">
      <c r="H117" s="183">
        <v>600</v>
      </c>
    </row>
    <row r="120" ht="24">
      <c r="H120" s="256">
        <v>2952</v>
      </c>
    </row>
    <row r="121" ht="24">
      <c r="H121" s="256">
        <v>68490</v>
      </c>
    </row>
    <row r="122" ht="24">
      <c r="H122" s="256">
        <v>18740</v>
      </c>
    </row>
    <row r="123" ht="24">
      <c r="H123" s="256">
        <v>73800</v>
      </c>
    </row>
    <row r="124" ht="24">
      <c r="H124" s="256">
        <v>64457</v>
      </c>
    </row>
    <row r="125" ht="24">
      <c r="H125" s="256">
        <v>10872</v>
      </c>
    </row>
    <row r="126" ht="24">
      <c r="H126" s="256">
        <v>31058</v>
      </c>
    </row>
    <row r="127" ht="24">
      <c r="H127" s="256">
        <v>6997</v>
      </c>
    </row>
    <row r="133" ht="24">
      <c r="H133" s="256">
        <v>6933</v>
      </c>
    </row>
    <row r="134" ht="24">
      <c r="H134" s="256">
        <v>25000</v>
      </c>
    </row>
    <row r="143" spans="8:9" ht="24">
      <c r="H143" s="256">
        <v>51160</v>
      </c>
      <c r="I143" s="183" t="s">
        <v>6</v>
      </c>
    </row>
    <row r="144" ht="24">
      <c r="H144" s="183" t="s">
        <v>7</v>
      </c>
    </row>
    <row r="145" ht="24">
      <c r="H145" s="183" t="s">
        <v>7</v>
      </c>
    </row>
    <row r="146" ht="24">
      <c r="H146" s="183" t="s">
        <v>7</v>
      </c>
    </row>
    <row r="147" ht="24">
      <c r="H147" s="183" t="s">
        <v>7</v>
      </c>
    </row>
    <row r="148" ht="24">
      <c r="H148" s="183" t="s">
        <v>7</v>
      </c>
    </row>
    <row r="149" ht="24">
      <c r="H149" s="183">
        <v>50</v>
      </c>
    </row>
    <row r="150" ht="24">
      <c r="H150" s="183" t="s">
        <v>7</v>
      </c>
    </row>
    <row r="151" ht="24">
      <c r="H151" s="183">
        <v>37</v>
      </c>
    </row>
    <row r="157" ht="24">
      <c r="H157" s="183">
        <v>43</v>
      </c>
    </row>
    <row r="158" ht="24">
      <c r="H158" s="183" t="s">
        <v>7</v>
      </c>
    </row>
    <row r="167" ht="24">
      <c r="H167" s="183">
        <v>46</v>
      </c>
    </row>
    <row r="168" spans="8:10" ht="24">
      <c r="H168" s="256">
        <v>30174971</v>
      </c>
      <c r="I168" s="183" t="s">
        <v>46</v>
      </c>
      <c r="J168" s="256"/>
    </row>
    <row r="169" ht="24">
      <c r="H169" s="183" t="s">
        <v>47</v>
      </c>
    </row>
    <row r="170" spans="8:9" ht="24">
      <c r="H170" s="183" t="s">
        <v>48</v>
      </c>
      <c r="I170" s="256">
        <v>360460</v>
      </c>
    </row>
    <row r="171" spans="8:12" ht="24">
      <c r="H171" s="183" t="s">
        <v>49</v>
      </c>
      <c r="I171" s="256">
        <v>301673</v>
      </c>
      <c r="L171" s="256"/>
    </row>
    <row r="172" spans="9:12" ht="24">
      <c r="I172" s="256">
        <v>14739681</v>
      </c>
      <c r="L172" s="256"/>
    </row>
  </sheetData>
  <sheetProtection/>
  <mergeCells count="8">
    <mergeCell ref="F35:G35"/>
    <mergeCell ref="G28:J28"/>
    <mergeCell ref="G27:J27"/>
    <mergeCell ref="G29:J29"/>
    <mergeCell ref="A2:F2"/>
    <mergeCell ref="A3:B3"/>
    <mergeCell ref="A4:B4"/>
    <mergeCell ref="G2:G4"/>
  </mergeCells>
  <printOptions/>
  <pageMargins left="0.11811023622047245" right="0.35433070866141736" top="0.1968503937007874" bottom="0.11811023622047245" header="0.15748031496062992" footer="0.275590551181102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115" zoomScaleSheetLayoutView="115" zoomScalePageLayoutView="0" workbookViewId="0" topLeftCell="A1">
      <selection activeCell="B1" sqref="A1:I16"/>
    </sheetView>
  </sheetViews>
  <sheetFormatPr defaultColWidth="9.140625" defaultRowHeight="21.75"/>
  <cols>
    <col min="1" max="5" width="9.140625" style="1" customWidth="1"/>
    <col min="6" max="6" width="16.28125" style="1" customWidth="1"/>
    <col min="7" max="8" width="9.140625" style="1" customWidth="1"/>
    <col min="9" max="9" width="15.140625" style="1" customWidth="1"/>
    <col min="10" max="10" width="11.8515625" style="1" customWidth="1"/>
    <col min="11" max="16384" width="9.140625" style="1" customWidth="1"/>
  </cols>
  <sheetData>
    <row r="1" spans="1:15" ht="24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</row>
    <row r="2" spans="1:15" ht="36.75" customHeight="1">
      <c r="A2" s="36"/>
      <c r="B2" s="36"/>
      <c r="C2" s="36"/>
      <c r="D2" s="46" t="s">
        <v>75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5"/>
    </row>
    <row r="3" spans="1:15" ht="33.75" customHeight="1">
      <c r="A3" s="37" t="s">
        <v>295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5"/>
    </row>
    <row r="4" spans="1:15" ht="24">
      <c r="A4" s="37" t="s">
        <v>296</v>
      </c>
      <c r="B4" s="36"/>
      <c r="C4" s="36"/>
      <c r="D4" s="36"/>
      <c r="E4" s="37" t="s">
        <v>448</v>
      </c>
      <c r="F4" s="37"/>
      <c r="G4" s="37"/>
      <c r="H4" s="36"/>
      <c r="I4" s="36"/>
      <c r="J4" s="36"/>
      <c r="K4" s="36"/>
      <c r="L4" s="36"/>
      <c r="M4" s="36"/>
      <c r="N4" s="36"/>
      <c r="O4" s="5"/>
    </row>
    <row r="5" spans="1:15" ht="24">
      <c r="A5" s="47" t="s">
        <v>74</v>
      </c>
      <c r="B5" s="38" t="s">
        <v>250</v>
      </c>
      <c r="C5" s="38"/>
      <c r="D5" s="38"/>
      <c r="E5" s="38"/>
      <c r="F5" s="38"/>
      <c r="G5" s="38"/>
      <c r="H5" s="38"/>
      <c r="I5" s="38"/>
      <c r="J5" s="38"/>
      <c r="K5" s="36"/>
      <c r="L5" s="36"/>
      <c r="M5" s="36"/>
      <c r="N5" s="36"/>
      <c r="O5" s="5"/>
    </row>
    <row r="6" spans="1:15" ht="12.75" customHeight="1">
      <c r="A6" s="455"/>
      <c r="B6" s="455"/>
      <c r="C6" s="455"/>
      <c r="D6" s="455"/>
      <c r="E6" s="38"/>
      <c r="F6" s="38"/>
      <c r="G6" s="38"/>
      <c r="H6" s="38"/>
      <c r="I6" s="38"/>
      <c r="J6" s="38"/>
      <c r="K6" s="36"/>
      <c r="L6" s="36"/>
      <c r="M6" s="36"/>
      <c r="N6" s="36"/>
      <c r="O6" s="5"/>
    </row>
    <row r="7" spans="1:15" ht="24">
      <c r="A7" s="180" t="s">
        <v>297</v>
      </c>
      <c r="B7" s="180"/>
      <c r="C7" s="180"/>
      <c r="D7" s="180"/>
      <c r="E7" s="38"/>
      <c r="F7" s="38"/>
      <c r="G7" s="38"/>
      <c r="H7" s="38"/>
      <c r="I7" s="38"/>
      <c r="J7" s="38"/>
      <c r="K7" s="36"/>
      <c r="L7" s="36"/>
      <c r="M7" s="36"/>
      <c r="N7" s="36"/>
      <c r="O7" s="5"/>
    </row>
    <row r="8" spans="1:15" ht="30" customHeight="1">
      <c r="A8" s="36"/>
      <c r="B8" s="36" t="s">
        <v>251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5"/>
    </row>
    <row r="9" spans="1:15" ht="24">
      <c r="A9" s="36" t="s">
        <v>449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5"/>
    </row>
    <row r="10" spans="1:15" ht="24">
      <c r="A10" s="36" t="s">
        <v>252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5"/>
    </row>
    <row r="11" spans="1:15" ht="30" customHeight="1">
      <c r="A11" s="36"/>
      <c r="B11" s="36" t="s">
        <v>73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"/>
    </row>
    <row r="12" spans="1:15" ht="24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5"/>
    </row>
    <row r="13" spans="1:15" ht="24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5"/>
    </row>
    <row r="14" spans="1:14" ht="24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24">
      <c r="A15" s="36"/>
      <c r="B15" s="36"/>
      <c r="C15" s="36"/>
      <c r="D15" s="36"/>
      <c r="E15" s="454" t="s">
        <v>404</v>
      </c>
      <c r="F15" s="454"/>
      <c r="G15" s="454"/>
      <c r="H15" s="36"/>
      <c r="I15" s="36"/>
      <c r="J15" s="36"/>
      <c r="K15" s="36"/>
      <c r="L15" s="36"/>
      <c r="M15" s="36"/>
      <c r="N15" s="36"/>
    </row>
    <row r="16" spans="1:14" ht="24">
      <c r="A16" s="36"/>
      <c r="B16" s="36"/>
      <c r="C16" s="36"/>
      <c r="D16" s="36"/>
      <c r="E16" s="52" t="s">
        <v>405</v>
      </c>
      <c r="F16" s="52"/>
      <c r="G16" s="52"/>
      <c r="H16" s="36"/>
      <c r="I16" s="36"/>
      <c r="J16" s="36"/>
      <c r="K16" s="36"/>
      <c r="L16" s="36"/>
      <c r="M16" s="36"/>
      <c r="N16" s="36"/>
    </row>
    <row r="17" spans="1:14" ht="24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4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24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0" ht="24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24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24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2">
    <mergeCell ref="E15:G15"/>
    <mergeCell ref="A6:D6"/>
  </mergeCells>
  <printOptions/>
  <pageMargins left="0.7874015748031497" right="0.2755905511811024" top="0.4330708661417323" bottom="0.5905511811023623" header="0.5118110236220472" footer="0.5118110236220472"/>
  <pageSetup horizontalDpi="300" verticalDpi="300" orientation="portrait" paperSize="9" r:id="rId4"/>
  <drawing r:id="rId3"/>
  <legacyDrawing r:id="rId2"/>
  <oleObjects>
    <oleObject progId="PBrush" shapeId="20546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4">
      <selection activeCell="A1" sqref="A1:I30"/>
    </sheetView>
  </sheetViews>
  <sheetFormatPr defaultColWidth="9.140625" defaultRowHeight="21.75"/>
  <cols>
    <col min="1" max="1" width="3.140625" style="0" bestFit="1" customWidth="1"/>
    <col min="2" max="2" width="8.28125" style="0" customWidth="1"/>
    <col min="5" max="5" width="12.8515625" style="0" customWidth="1"/>
    <col min="6" max="6" width="14.8515625" style="0" customWidth="1"/>
    <col min="7" max="7" width="12.8515625" style="0" customWidth="1"/>
    <col min="8" max="8" width="13.00390625" style="0" customWidth="1"/>
    <col min="9" max="9" width="14.140625" style="0" customWidth="1"/>
    <col min="10" max="10" width="12.8515625" style="0" customWidth="1"/>
    <col min="11" max="11" width="0.5625" style="0" hidden="1" customWidth="1"/>
    <col min="12" max="12" width="21.28125" style="0" customWidth="1"/>
  </cols>
  <sheetData>
    <row r="1" spans="1:9" ht="19.5" customHeight="1">
      <c r="A1" s="456"/>
      <c r="B1" s="456"/>
      <c r="C1" s="456"/>
      <c r="D1" s="456"/>
      <c r="E1" s="456"/>
      <c r="F1" s="456"/>
      <c r="G1" s="456"/>
      <c r="H1" s="456"/>
      <c r="I1" s="456"/>
    </row>
    <row r="2" spans="1:10" ht="27.75">
      <c r="A2" s="457" t="s">
        <v>301</v>
      </c>
      <c r="B2" s="457"/>
      <c r="C2" s="457"/>
      <c r="D2" s="457"/>
      <c r="E2" s="457"/>
      <c r="F2" s="457"/>
      <c r="G2" s="457"/>
      <c r="H2" s="457"/>
      <c r="I2" s="457"/>
      <c r="J2" s="60"/>
    </row>
    <row r="3" spans="1:10" ht="27.75">
      <c r="A3" s="457" t="s">
        <v>244</v>
      </c>
      <c r="B3" s="457"/>
      <c r="C3" s="457"/>
      <c r="D3" s="457"/>
      <c r="E3" s="457"/>
      <c r="F3" s="457"/>
      <c r="G3" s="457"/>
      <c r="H3" s="457"/>
      <c r="I3" s="457"/>
      <c r="J3" s="60"/>
    </row>
    <row r="4" spans="1:10" ht="27.75">
      <c r="A4" s="457" t="s">
        <v>450</v>
      </c>
      <c r="B4" s="457"/>
      <c r="C4" s="457"/>
      <c r="D4" s="457"/>
      <c r="E4" s="457"/>
      <c r="F4" s="457"/>
      <c r="G4" s="457"/>
      <c r="H4" s="457"/>
      <c r="I4" s="457"/>
      <c r="J4" s="60"/>
    </row>
    <row r="5" spans="1:10" ht="27.75">
      <c r="A5" s="181" t="s">
        <v>338</v>
      </c>
      <c r="B5" s="181"/>
      <c r="C5" s="181"/>
      <c r="D5" s="176"/>
      <c r="E5" s="176"/>
      <c r="F5" s="176"/>
      <c r="G5" s="176"/>
      <c r="H5" s="176"/>
      <c r="I5" s="176"/>
      <c r="J5" s="60"/>
    </row>
    <row r="6" spans="1:12" ht="25.5" thickBot="1">
      <c r="A6" s="57"/>
      <c r="B6" s="57"/>
      <c r="C6" s="57"/>
      <c r="D6" s="57"/>
      <c r="E6" s="57"/>
      <c r="F6" s="69"/>
      <c r="G6" s="69"/>
      <c r="H6" s="69"/>
      <c r="I6" s="69"/>
      <c r="J6" s="60"/>
      <c r="L6" s="60"/>
    </row>
    <row r="7" spans="1:10" ht="25.5" thickBot="1">
      <c r="A7" s="75"/>
      <c r="B7" s="57"/>
      <c r="C7" s="57"/>
      <c r="D7" s="57"/>
      <c r="E7" s="70"/>
      <c r="F7" s="72" t="s">
        <v>104</v>
      </c>
      <c r="G7" s="73" t="s">
        <v>76</v>
      </c>
      <c r="H7" s="73" t="s">
        <v>77</v>
      </c>
      <c r="I7" s="74" t="s">
        <v>78</v>
      </c>
      <c r="J7" s="60"/>
    </row>
    <row r="8" spans="1:10" ht="24.75">
      <c r="A8" s="68" t="s">
        <v>46</v>
      </c>
      <c r="B8" s="57" t="s">
        <v>246</v>
      </c>
      <c r="C8" s="57"/>
      <c r="D8" s="57"/>
      <c r="E8" s="70"/>
      <c r="F8" s="136">
        <v>756764</v>
      </c>
      <c r="G8" s="137">
        <v>0</v>
      </c>
      <c r="H8" s="137">
        <v>0</v>
      </c>
      <c r="I8" s="138">
        <f aca="true" t="shared" si="0" ref="I8:I15">F8+G8-H8</f>
        <v>756764</v>
      </c>
      <c r="J8" s="60"/>
    </row>
    <row r="9" spans="1:10" ht="24.75">
      <c r="A9" s="68" t="s">
        <v>7</v>
      </c>
      <c r="B9" s="57" t="s">
        <v>245</v>
      </c>
      <c r="C9" s="57"/>
      <c r="D9" s="57"/>
      <c r="E9" s="70"/>
      <c r="F9" s="136">
        <v>3000</v>
      </c>
      <c r="G9" s="137"/>
      <c r="H9" s="137"/>
      <c r="I9" s="138">
        <f t="shared" si="0"/>
        <v>3000</v>
      </c>
      <c r="J9" s="60"/>
    </row>
    <row r="10" spans="1:10" ht="24.75">
      <c r="A10" s="68" t="s">
        <v>7</v>
      </c>
      <c r="B10" s="57" t="s">
        <v>298</v>
      </c>
      <c r="C10" s="57"/>
      <c r="D10" s="57"/>
      <c r="E10" s="70"/>
      <c r="F10" s="136">
        <v>111.9</v>
      </c>
      <c r="G10" s="137">
        <v>2.1</v>
      </c>
      <c r="H10" s="137">
        <v>0</v>
      </c>
      <c r="I10" s="138">
        <f t="shared" si="0"/>
        <v>114</v>
      </c>
      <c r="J10" s="60"/>
    </row>
    <row r="11" spans="1:10" ht="24.75">
      <c r="A11" s="68" t="s">
        <v>7</v>
      </c>
      <c r="B11" s="57" t="s">
        <v>444</v>
      </c>
      <c r="C11" s="57"/>
      <c r="D11" s="57"/>
      <c r="E11" s="70"/>
      <c r="F11" s="136">
        <v>93.25</v>
      </c>
      <c r="G11" s="137">
        <v>1.75</v>
      </c>
      <c r="H11" s="137"/>
      <c r="I11" s="138">
        <f t="shared" si="0"/>
        <v>95</v>
      </c>
      <c r="J11" s="60"/>
    </row>
    <row r="12" spans="1:10" ht="24.75">
      <c r="A12" s="68" t="s">
        <v>7</v>
      </c>
      <c r="B12" s="458" t="s">
        <v>451</v>
      </c>
      <c r="C12" s="458"/>
      <c r="D12" s="458"/>
      <c r="E12" s="459"/>
      <c r="F12" s="136">
        <v>80.34</v>
      </c>
      <c r="G12" s="137">
        <v>525.03</v>
      </c>
      <c r="H12" s="137">
        <v>80.34</v>
      </c>
      <c r="I12" s="138">
        <f t="shared" si="0"/>
        <v>525.03</v>
      </c>
      <c r="J12" s="60"/>
    </row>
    <row r="13" spans="1:10" ht="24.75">
      <c r="A13" s="68" t="s">
        <v>7</v>
      </c>
      <c r="B13" s="57" t="s">
        <v>299</v>
      </c>
      <c r="C13" s="57"/>
      <c r="D13" s="57"/>
      <c r="E13" s="70"/>
      <c r="F13" s="136">
        <v>600</v>
      </c>
      <c r="G13" s="137"/>
      <c r="H13" s="137"/>
      <c r="I13" s="138">
        <f t="shared" si="0"/>
        <v>600</v>
      </c>
      <c r="J13" s="60"/>
    </row>
    <row r="14" spans="1:10" ht="24.75">
      <c r="A14" s="68" t="s">
        <v>7</v>
      </c>
      <c r="B14" s="57" t="s">
        <v>327</v>
      </c>
      <c r="C14" s="57"/>
      <c r="D14" s="57"/>
      <c r="E14" s="70"/>
      <c r="F14" s="136">
        <v>1899645.44</v>
      </c>
      <c r="G14" s="137">
        <v>0</v>
      </c>
      <c r="H14" s="137"/>
      <c r="I14" s="137">
        <f>F14+G14-H14</f>
        <v>1899645.44</v>
      </c>
      <c r="J14" s="60"/>
    </row>
    <row r="15" spans="1:10" ht="25.5" thickBot="1">
      <c r="A15" s="68" t="s">
        <v>7</v>
      </c>
      <c r="B15" s="57" t="s">
        <v>416</v>
      </c>
      <c r="C15" s="57"/>
      <c r="D15" s="57"/>
      <c r="E15" s="70"/>
      <c r="F15" s="136">
        <v>26000</v>
      </c>
      <c r="G15" s="137"/>
      <c r="H15" s="139"/>
      <c r="I15" s="139">
        <f t="shared" si="0"/>
        <v>26000</v>
      </c>
      <c r="J15" s="60"/>
    </row>
    <row r="16" spans="1:10" ht="25.5" thickBot="1">
      <c r="A16" s="57"/>
      <c r="B16" s="57"/>
      <c r="C16" s="57"/>
      <c r="D16" s="57"/>
      <c r="E16" s="70"/>
      <c r="F16" s="140">
        <f>SUM(F8:F15)</f>
        <v>2686294.9299999997</v>
      </c>
      <c r="G16" s="141">
        <f>SUM(G8:G15)</f>
        <v>528.88</v>
      </c>
      <c r="H16" s="139">
        <f>SUM(H8:H15)</f>
        <v>80.34</v>
      </c>
      <c r="I16" s="142">
        <f>SUM(I8:I15)</f>
        <v>2686743.4699999997</v>
      </c>
      <c r="J16" s="143"/>
    </row>
    <row r="17" spans="1:12" ht="24.75">
      <c r="A17" s="57"/>
      <c r="B17" s="57"/>
      <c r="C17" s="57"/>
      <c r="D17" s="57"/>
      <c r="E17" s="57"/>
      <c r="F17" s="71"/>
      <c r="G17" s="71"/>
      <c r="H17" s="57"/>
      <c r="I17" s="71"/>
      <c r="J17" s="60"/>
      <c r="L17" s="40">
        <f>8933.61+780764+11588.58+3000+600+13695+25810+1899645.44+26000</f>
        <v>2770036.63</v>
      </c>
    </row>
    <row r="18" spans="1:10" ht="24.75">
      <c r="A18" s="57"/>
      <c r="B18" s="57"/>
      <c r="C18" s="57"/>
      <c r="D18" s="57"/>
      <c r="E18" s="57"/>
      <c r="F18" s="57"/>
      <c r="G18" s="57"/>
      <c r="H18" s="57"/>
      <c r="I18" s="57"/>
      <c r="J18" s="60"/>
    </row>
    <row r="19" spans="1:10" ht="24.75">
      <c r="A19" s="57"/>
      <c r="B19" s="57"/>
      <c r="C19" s="57"/>
      <c r="D19" s="57"/>
      <c r="E19" s="57"/>
      <c r="F19" s="57"/>
      <c r="G19" s="57"/>
      <c r="H19" s="57"/>
      <c r="I19" s="57"/>
      <c r="J19" s="60"/>
    </row>
    <row r="20" spans="1:10" ht="24.75">
      <c r="A20" s="57"/>
      <c r="B20" s="57"/>
      <c r="C20" s="57"/>
      <c r="D20" s="57"/>
      <c r="E20" s="57"/>
      <c r="F20" s="57"/>
      <c r="G20" s="57"/>
      <c r="H20" s="57"/>
      <c r="I20" s="57"/>
      <c r="J20" s="60"/>
    </row>
    <row r="21" spans="1:10" ht="24.75">
      <c r="A21" s="57"/>
      <c r="B21" s="57"/>
      <c r="C21" s="57"/>
      <c r="D21" s="57"/>
      <c r="E21" s="57"/>
      <c r="F21" s="57"/>
      <c r="G21" s="57"/>
      <c r="H21" s="57"/>
      <c r="I21" s="57"/>
      <c r="J21" s="60"/>
    </row>
    <row r="22" spans="1:10" ht="24.75">
      <c r="A22" s="57"/>
      <c r="B22" s="57"/>
      <c r="C22" s="57"/>
      <c r="D22" s="57"/>
      <c r="E22" s="57"/>
      <c r="F22" s="57"/>
      <c r="G22" s="57"/>
      <c r="H22" s="57"/>
      <c r="I22" s="57"/>
      <c r="J22" s="60"/>
    </row>
    <row r="23" spans="1:10" ht="24.75">
      <c r="A23" s="57"/>
      <c r="B23" s="57"/>
      <c r="C23" s="57"/>
      <c r="D23" s="57"/>
      <c r="E23" s="57"/>
      <c r="F23" s="57"/>
      <c r="G23" s="57"/>
      <c r="H23" s="57"/>
      <c r="I23" s="57"/>
      <c r="J23" s="60"/>
    </row>
    <row r="24" spans="1:10" ht="24.75">
      <c r="A24" s="57"/>
      <c r="B24" s="57"/>
      <c r="C24" s="57"/>
      <c r="D24" s="57"/>
      <c r="E24" s="57"/>
      <c r="F24" s="57"/>
      <c r="G24" s="57"/>
      <c r="H24" s="57"/>
      <c r="I24" s="57"/>
      <c r="J24" s="60"/>
    </row>
    <row r="25" spans="1:10" ht="24.75">
      <c r="A25" s="57"/>
      <c r="B25" s="57"/>
      <c r="C25" s="57"/>
      <c r="D25" s="57"/>
      <c r="E25" s="57"/>
      <c r="F25" s="57"/>
      <c r="G25" s="57"/>
      <c r="H25" s="57"/>
      <c r="I25" s="57"/>
      <c r="J25" s="60"/>
    </row>
    <row r="26" spans="1:9" ht="24.75">
      <c r="A26" s="57"/>
      <c r="B26" s="57"/>
      <c r="C26" s="57"/>
      <c r="D26" s="57"/>
      <c r="E26" s="57"/>
      <c r="F26" s="57"/>
      <c r="G26" s="57"/>
      <c r="H26" s="57"/>
      <c r="I26" s="57"/>
    </row>
    <row r="27" spans="1:9" ht="24.75">
      <c r="A27" s="57"/>
      <c r="B27" s="57"/>
      <c r="C27" s="57"/>
      <c r="D27" s="57"/>
      <c r="E27" s="57"/>
      <c r="F27" s="57"/>
      <c r="G27" s="57"/>
      <c r="H27" s="57"/>
      <c r="I27" s="57"/>
    </row>
    <row r="28" spans="1:9" ht="24.75">
      <c r="A28" s="57"/>
      <c r="B28" s="57"/>
      <c r="C28" s="57"/>
      <c r="D28" s="57"/>
      <c r="E28" s="57"/>
      <c r="F28" s="57"/>
      <c r="G28" s="57"/>
      <c r="H28" s="57"/>
      <c r="I28" s="57"/>
    </row>
    <row r="29" spans="1:9" ht="24.75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24.75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24.75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24.75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24.75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24.7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24.7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24.75">
      <c r="A36" s="57"/>
      <c r="B36" s="57"/>
      <c r="C36" s="57"/>
      <c r="D36" s="57"/>
      <c r="E36" s="57"/>
      <c r="F36" s="57"/>
      <c r="G36" s="57"/>
      <c r="H36" s="57"/>
      <c r="I36" s="57"/>
    </row>
  </sheetData>
  <sheetProtection/>
  <mergeCells count="5">
    <mergeCell ref="A1:I1"/>
    <mergeCell ref="A2:I2"/>
    <mergeCell ref="A3:I3"/>
    <mergeCell ref="A4:I4"/>
    <mergeCell ref="B12:E12"/>
  </mergeCells>
  <printOptions verticalCentered="1"/>
  <pageMargins left="0.7480314960629921" right="0.15748031496062992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9">
      <selection activeCell="A1" sqref="A1:G30"/>
    </sheetView>
  </sheetViews>
  <sheetFormatPr defaultColWidth="9.140625" defaultRowHeight="21.75"/>
  <cols>
    <col min="4" max="4" width="27.7109375" style="0" customWidth="1"/>
    <col min="5" max="5" width="11.8515625" style="0" customWidth="1"/>
    <col min="6" max="6" width="18.57421875" style="0" customWidth="1"/>
    <col min="7" max="7" width="16.8515625" style="0" customWidth="1"/>
    <col min="12" max="12" width="19.00390625" style="0" customWidth="1"/>
  </cols>
  <sheetData>
    <row r="1" spans="1:10" s="19" customFormat="1" ht="19.5" customHeight="1">
      <c r="A1" s="463" t="s">
        <v>301</v>
      </c>
      <c r="B1" s="464"/>
      <c r="C1" s="464"/>
      <c r="D1" s="464"/>
      <c r="E1" s="464"/>
      <c r="F1" s="464"/>
      <c r="G1" s="464"/>
      <c r="J1" s="85">
        <v>0</v>
      </c>
    </row>
    <row r="2" spans="1:7" s="19" customFormat="1" ht="19.5" customHeight="1">
      <c r="A2" s="463" t="s">
        <v>263</v>
      </c>
      <c r="B2" s="463"/>
      <c r="C2" s="463"/>
      <c r="D2" s="463"/>
      <c r="E2" s="463"/>
      <c r="F2" s="463"/>
      <c r="G2" s="463"/>
    </row>
    <row r="3" spans="1:7" s="19" customFormat="1" ht="19.5" customHeight="1">
      <c r="A3" s="465" t="s">
        <v>452</v>
      </c>
      <c r="B3" s="465"/>
      <c r="C3" s="465"/>
      <c r="D3" s="465"/>
      <c r="E3" s="465"/>
      <c r="F3" s="465"/>
      <c r="G3" s="465"/>
    </row>
    <row r="4" spans="1:7" ht="23.25">
      <c r="A4" s="466" t="s">
        <v>52</v>
      </c>
      <c r="B4" s="467"/>
      <c r="C4" s="467"/>
      <c r="D4" s="468"/>
      <c r="E4" s="76" t="s">
        <v>51</v>
      </c>
      <c r="F4" s="76" t="s">
        <v>98</v>
      </c>
      <c r="G4" s="76" t="s">
        <v>102</v>
      </c>
    </row>
    <row r="5" spans="1:7" ht="23.25">
      <c r="A5" s="77" t="s">
        <v>122</v>
      </c>
      <c r="B5" s="78"/>
      <c r="C5" s="78"/>
      <c r="D5" s="79"/>
      <c r="E5" s="80" t="s">
        <v>300</v>
      </c>
      <c r="F5" s="81"/>
      <c r="G5" s="81"/>
    </row>
    <row r="6" spans="1:7" ht="23.25">
      <c r="A6" s="460" t="s">
        <v>302</v>
      </c>
      <c r="B6" s="461"/>
      <c r="C6" s="461"/>
      <c r="D6" s="462"/>
      <c r="E6" s="84" t="s">
        <v>307</v>
      </c>
      <c r="F6" s="82">
        <v>23148777.75</v>
      </c>
      <c r="G6" s="83"/>
    </row>
    <row r="7" spans="1:7" ht="23.25">
      <c r="A7" s="460" t="s">
        <v>303</v>
      </c>
      <c r="B7" s="461"/>
      <c r="C7" s="461"/>
      <c r="D7" s="462"/>
      <c r="E7" s="84" t="s">
        <v>307</v>
      </c>
      <c r="F7" s="82">
        <v>1582516.5</v>
      </c>
      <c r="G7" s="83"/>
    </row>
    <row r="8" spans="1:7" ht="23.25">
      <c r="A8" s="460" t="s">
        <v>304</v>
      </c>
      <c r="B8" s="461"/>
      <c r="C8" s="461"/>
      <c r="D8" s="462"/>
      <c r="E8" s="84" t="s">
        <v>309</v>
      </c>
      <c r="F8" s="82">
        <v>1854804.2</v>
      </c>
      <c r="G8" s="83"/>
    </row>
    <row r="9" spans="1:7" ht="23.25">
      <c r="A9" s="460" t="s">
        <v>305</v>
      </c>
      <c r="B9" s="461"/>
      <c r="C9" s="461"/>
      <c r="D9" s="462"/>
      <c r="E9" s="84" t="s">
        <v>308</v>
      </c>
      <c r="F9" s="85">
        <v>630893.02</v>
      </c>
      <c r="G9" s="83"/>
    </row>
    <row r="10" spans="1:7" ht="23.25">
      <c r="A10" s="86" t="s">
        <v>400</v>
      </c>
      <c r="B10" s="87"/>
      <c r="C10" s="87"/>
      <c r="D10" s="88"/>
      <c r="E10" s="84" t="s">
        <v>310</v>
      </c>
      <c r="F10" s="85">
        <v>45940</v>
      </c>
      <c r="G10" s="90"/>
    </row>
    <row r="11" spans="1:7" ht="23.25">
      <c r="A11" s="86" t="s">
        <v>306</v>
      </c>
      <c r="B11" s="87"/>
      <c r="C11" s="87"/>
      <c r="D11" s="88"/>
      <c r="E11" s="84" t="s">
        <v>311</v>
      </c>
      <c r="F11" s="82">
        <v>320001</v>
      </c>
      <c r="G11" s="90"/>
    </row>
    <row r="12" spans="1:7" ht="23.25">
      <c r="A12" s="86" t="s">
        <v>421</v>
      </c>
      <c r="B12" s="87"/>
      <c r="C12" s="87"/>
      <c r="D12" s="88"/>
      <c r="E12" s="84" t="s">
        <v>422</v>
      </c>
      <c r="F12" s="82">
        <v>7981.52</v>
      </c>
      <c r="G12" s="90"/>
    </row>
    <row r="13" spans="1:7" ht="23.25">
      <c r="A13" s="86" t="s">
        <v>26</v>
      </c>
      <c r="B13" s="87"/>
      <c r="C13" s="87"/>
      <c r="D13" s="88"/>
      <c r="E13" s="84" t="s">
        <v>312</v>
      </c>
      <c r="F13" s="83">
        <v>2210212</v>
      </c>
      <c r="G13" s="83"/>
    </row>
    <row r="14" spans="1:7" ht="23.25">
      <c r="A14" s="86" t="s">
        <v>329</v>
      </c>
      <c r="B14" s="87"/>
      <c r="C14" s="87"/>
      <c r="D14" s="88"/>
      <c r="E14" s="84" t="s">
        <v>313</v>
      </c>
      <c r="F14" s="83">
        <v>673320</v>
      </c>
      <c r="G14" s="83"/>
    </row>
    <row r="15" spans="1:7" ht="23.25">
      <c r="A15" s="86" t="s">
        <v>330</v>
      </c>
      <c r="B15" s="87"/>
      <c r="C15" s="87"/>
      <c r="D15" s="88"/>
      <c r="E15" s="84" t="s">
        <v>328</v>
      </c>
      <c r="F15" s="83">
        <v>1304610</v>
      </c>
      <c r="G15" s="83"/>
    </row>
    <row r="16" spans="1:7" ht="23.25">
      <c r="A16" s="86" t="s">
        <v>30</v>
      </c>
      <c r="B16" s="87"/>
      <c r="C16" s="87"/>
      <c r="D16" s="88"/>
      <c r="E16" s="84" t="s">
        <v>314</v>
      </c>
      <c r="F16" s="83">
        <v>2400</v>
      </c>
      <c r="G16" s="83"/>
    </row>
    <row r="17" spans="1:12" ht="23.25">
      <c r="A17" s="86" t="s">
        <v>31</v>
      </c>
      <c r="B17" s="87"/>
      <c r="C17" s="87"/>
      <c r="D17" s="88"/>
      <c r="E17" s="84" t="s">
        <v>315</v>
      </c>
      <c r="F17" s="83">
        <v>752164.2</v>
      </c>
      <c r="G17" s="83"/>
      <c r="L17" s="40">
        <f>F17-2121116.05</f>
        <v>-1368951.8499999999</v>
      </c>
    </row>
    <row r="18" spans="1:12" ht="23.25">
      <c r="A18" s="86" t="s">
        <v>32</v>
      </c>
      <c r="B18" s="87"/>
      <c r="C18" s="87"/>
      <c r="D18" s="88"/>
      <c r="E18" s="84" t="s">
        <v>316</v>
      </c>
      <c r="F18" s="83">
        <v>20993</v>
      </c>
      <c r="G18" s="83"/>
      <c r="L18" s="40">
        <f>F18-1290757</f>
        <v>-1269764</v>
      </c>
    </row>
    <row r="19" spans="1:7" ht="23.25">
      <c r="A19" s="86" t="s">
        <v>33</v>
      </c>
      <c r="B19" s="87"/>
      <c r="C19" s="87"/>
      <c r="D19" s="88"/>
      <c r="E19" s="84" t="s">
        <v>317</v>
      </c>
      <c r="F19" s="83">
        <v>35390.89</v>
      </c>
      <c r="G19" s="83"/>
    </row>
    <row r="20" spans="1:7" ht="23.25">
      <c r="A20" s="86" t="s">
        <v>14</v>
      </c>
      <c r="B20" s="87"/>
      <c r="C20" s="87"/>
      <c r="D20" s="88"/>
      <c r="E20" s="84" t="s">
        <v>318</v>
      </c>
      <c r="F20" s="83">
        <v>1030000</v>
      </c>
      <c r="G20" s="83"/>
    </row>
    <row r="21" spans="1:7" ht="23.25">
      <c r="A21" s="86" t="s">
        <v>34</v>
      </c>
      <c r="B21" s="87"/>
      <c r="C21" s="87"/>
      <c r="D21" s="88"/>
      <c r="E21" s="84" t="s">
        <v>319</v>
      </c>
      <c r="F21" s="85"/>
      <c r="G21" s="83"/>
    </row>
    <row r="22" spans="1:7" ht="23.25">
      <c r="A22" s="86" t="s">
        <v>35</v>
      </c>
      <c r="B22" s="87"/>
      <c r="C22" s="87"/>
      <c r="D22" s="88"/>
      <c r="E22" s="84" t="s">
        <v>320</v>
      </c>
      <c r="F22" s="85"/>
      <c r="G22" s="90"/>
    </row>
    <row r="23" spans="1:7" ht="23.25">
      <c r="A23" s="86" t="s">
        <v>423</v>
      </c>
      <c r="B23" s="87"/>
      <c r="C23" s="87"/>
      <c r="D23" s="88"/>
      <c r="E23" s="84" t="s">
        <v>420</v>
      </c>
      <c r="F23" s="89"/>
      <c r="G23" s="85"/>
    </row>
    <row r="24" spans="1:7" ht="23.25">
      <c r="A24" s="86" t="s">
        <v>424</v>
      </c>
      <c r="B24" s="87"/>
      <c r="C24" s="87"/>
      <c r="D24" s="88"/>
      <c r="E24" s="84" t="s">
        <v>321</v>
      </c>
      <c r="F24" s="89"/>
      <c r="G24" s="85">
        <v>914901.44</v>
      </c>
    </row>
    <row r="25" spans="1:7" ht="23.25">
      <c r="A25" s="86" t="s">
        <v>36</v>
      </c>
      <c r="B25" s="87"/>
      <c r="C25" s="87"/>
      <c r="D25" s="88"/>
      <c r="E25" s="84" t="s">
        <v>322</v>
      </c>
      <c r="F25" s="89"/>
      <c r="G25" s="90">
        <v>8267664.06</v>
      </c>
    </row>
    <row r="26" spans="1:7" ht="23.25">
      <c r="A26" s="86" t="s">
        <v>120</v>
      </c>
      <c r="B26" s="87"/>
      <c r="C26" s="87"/>
      <c r="D26" s="88"/>
      <c r="E26" s="84" t="s">
        <v>323</v>
      </c>
      <c r="F26" s="89"/>
      <c r="G26" s="91">
        <v>12677663.25</v>
      </c>
    </row>
    <row r="27" spans="1:7" ht="23.25">
      <c r="A27" s="86" t="s">
        <v>402</v>
      </c>
      <c r="B27" s="87"/>
      <c r="C27" s="87"/>
      <c r="D27" s="88"/>
      <c r="E27" s="84" t="s">
        <v>401</v>
      </c>
      <c r="F27" s="89">
        <v>25600</v>
      </c>
      <c r="G27" s="91"/>
    </row>
    <row r="28" spans="1:7" ht="23.25">
      <c r="A28" s="86" t="s">
        <v>159</v>
      </c>
      <c r="B28" s="87"/>
      <c r="C28" s="87"/>
      <c r="D28" s="88"/>
      <c r="E28" s="84" t="s">
        <v>324</v>
      </c>
      <c r="F28" s="89"/>
      <c r="G28" s="90">
        <f>9085005.86+244</f>
        <v>9085249.86</v>
      </c>
    </row>
    <row r="29" spans="1:7" ht="23.25">
      <c r="A29" s="92" t="s">
        <v>160</v>
      </c>
      <c r="B29" s="93"/>
      <c r="C29" s="93"/>
      <c r="D29" s="94"/>
      <c r="E29" s="95" t="s">
        <v>325</v>
      </c>
      <c r="F29" s="96"/>
      <c r="G29" s="90">
        <f>525.03+95+114+13382+26000+1899645.44+600+3000+756764</f>
        <v>2700125.4699999997</v>
      </c>
    </row>
    <row r="30" spans="1:12" ht="24" thickBot="1">
      <c r="A30" s="97"/>
      <c r="B30" s="97"/>
      <c r="C30" s="97"/>
      <c r="D30" s="97"/>
      <c r="E30" s="98"/>
      <c r="F30" s="99">
        <f>SUM(F5:F29)</f>
        <v>33645604.08</v>
      </c>
      <c r="G30" s="100">
        <f>SUM(G5:G29)</f>
        <v>33645604.08</v>
      </c>
      <c r="L30" s="382">
        <f>F30-G30</f>
        <v>0</v>
      </c>
    </row>
    <row r="31" spans="1:12" ht="24" thickTop="1">
      <c r="A31" s="97"/>
      <c r="B31" s="97"/>
      <c r="C31" s="97"/>
      <c r="D31" s="97"/>
      <c r="E31" s="97"/>
      <c r="F31" s="101"/>
      <c r="G31" s="172"/>
      <c r="L31" s="42"/>
    </row>
    <row r="32" spans="1:13" ht="21.75">
      <c r="A32" s="3"/>
      <c r="B32" s="3"/>
      <c r="C32" s="3"/>
      <c r="D32" s="3"/>
      <c r="E32" s="3"/>
      <c r="F32" s="3"/>
      <c r="G32" s="3"/>
      <c r="H32" s="23"/>
      <c r="I32" s="3"/>
      <c r="J32" s="3"/>
      <c r="K32" s="45"/>
      <c r="L32" s="3"/>
      <c r="M32" s="3"/>
    </row>
    <row r="33" spans="1:13" ht="21.75">
      <c r="A33" s="3"/>
      <c r="B33" s="3"/>
      <c r="C33" s="3"/>
      <c r="D33" s="3"/>
      <c r="E33" s="3"/>
      <c r="F33" s="384"/>
      <c r="G33" s="384"/>
      <c r="H33" s="171"/>
      <c r="I33" s="171"/>
      <c r="J33" s="384" t="s">
        <v>326</v>
      </c>
      <c r="K33" s="384"/>
      <c r="L33" s="384"/>
      <c r="M33" s="384"/>
    </row>
    <row r="34" spans="1:7" ht="23.25">
      <c r="A34" s="102"/>
      <c r="B34" s="102"/>
      <c r="C34" s="102"/>
      <c r="D34" s="102"/>
      <c r="E34" s="102"/>
      <c r="F34" s="102"/>
      <c r="G34" s="102"/>
    </row>
    <row r="35" spans="1:7" ht="24.75">
      <c r="A35" s="58"/>
      <c r="B35" s="58"/>
      <c r="C35" s="58"/>
      <c r="D35" s="58"/>
      <c r="E35" s="58"/>
      <c r="F35" s="58"/>
      <c r="G35" s="58"/>
    </row>
    <row r="36" spans="1:7" ht="24.75">
      <c r="A36" s="58"/>
      <c r="B36" s="59"/>
      <c r="C36" s="59"/>
      <c r="D36" s="59"/>
      <c r="E36" s="58"/>
      <c r="F36" s="58"/>
      <c r="G36" s="58"/>
    </row>
    <row r="37" spans="1:7" ht="23.25">
      <c r="A37" s="38"/>
      <c r="B37" s="38"/>
      <c r="C37" s="38"/>
      <c r="D37" s="38"/>
      <c r="E37" s="38"/>
      <c r="F37" s="50"/>
      <c r="G37" s="51"/>
    </row>
    <row r="38" spans="1:7" ht="23.25">
      <c r="A38" s="38"/>
      <c r="B38" s="38"/>
      <c r="C38" s="38"/>
      <c r="D38" s="38"/>
      <c r="E38" s="38"/>
      <c r="F38" s="50"/>
      <c r="G38" s="51"/>
    </row>
    <row r="39" spans="1:7" ht="24">
      <c r="A39" s="38"/>
      <c r="B39" s="30"/>
      <c r="C39" s="30"/>
      <c r="D39" s="30"/>
      <c r="E39" s="38"/>
      <c r="F39" s="50"/>
      <c r="G39" s="51"/>
    </row>
    <row r="40" spans="1:7" ht="24">
      <c r="A40" s="30"/>
      <c r="B40" s="30"/>
      <c r="C40" s="30"/>
      <c r="D40" s="30"/>
      <c r="E40" s="30"/>
      <c r="F40" s="30"/>
      <c r="G40" s="30"/>
    </row>
    <row r="41" spans="1:7" ht="24">
      <c r="A41" s="30"/>
      <c r="B41" s="30"/>
      <c r="C41" s="30"/>
      <c r="D41" s="30"/>
      <c r="E41" s="30"/>
      <c r="F41" s="30"/>
      <c r="G41" s="30"/>
    </row>
    <row r="42" spans="1:7" ht="24">
      <c r="A42" s="30"/>
      <c r="B42" s="30"/>
      <c r="C42" s="30"/>
      <c r="D42" s="30"/>
      <c r="E42" s="30"/>
      <c r="F42" s="30"/>
      <c r="G42" s="30"/>
    </row>
    <row r="43" spans="1:7" ht="24">
      <c r="A43" s="30"/>
      <c r="B43" s="30"/>
      <c r="C43" s="30"/>
      <c r="D43" s="30"/>
      <c r="E43" s="30"/>
      <c r="F43" s="30"/>
      <c r="G43" s="30"/>
    </row>
    <row r="44" spans="1:7" ht="24">
      <c r="A44" s="30"/>
      <c r="B44" s="30"/>
      <c r="C44" s="30"/>
      <c r="D44" s="30"/>
      <c r="E44" s="30"/>
      <c r="F44" s="30"/>
      <c r="G44" s="30"/>
    </row>
    <row r="45" spans="1:7" ht="24">
      <c r="A45" s="30"/>
      <c r="E45" s="30"/>
      <c r="F45" s="30"/>
      <c r="G45" s="30"/>
    </row>
  </sheetData>
  <sheetProtection/>
  <mergeCells count="10">
    <mergeCell ref="A8:D8"/>
    <mergeCell ref="J33:M33"/>
    <mergeCell ref="F33:G33"/>
    <mergeCell ref="A1:G1"/>
    <mergeCell ref="A2:G2"/>
    <mergeCell ref="A3:G3"/>
    <mergeCell ref="A4:D4"/>
    <mergeCell ref="A9:D9"/>
    <mergeCell ref="A6:D6"/>
    <mergeCell ref="A7:D7"/>
  </mergeCells>
  <printOptions verticalCentered="1"/>
  <pageMargins left="0.5905511811023623" right="0" top="0.5905511811023623" bottom="0.3937007874015748" header="0.196850393700787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2"/>
  <sheetViews>
    <sheetView workbookViewId="0" topLeftCell="A1">
      <selection activeCell="I147" sqref="I147"/>
    </sheetView>
  </sheetViews>
  <sheetFormatPr defaultColWidth="9.140625" defaultRowHeight="21.75"/>
  <cols>
    <col min="1" max="1" width="50.57421875" style="257" customWidth="1"/>
    <col min="2" max="2" width="8.7109375" style="257" customWidth="1"/>
    <col min="3" max="3" width="12.7109375" style="257" customWidth="1"/>
    <col min="4" max="4" width="13.8515625" style="257" customWidth="1"/>
    <col min="5" max="5" width="14.28125" style="257" customWidth="1"/>
    <col min="6" max="7" width="9.140625" style="257" customWidth="1"/>
    <col min="8" max="8" width="16.57421875" style="257" customWidth="1"/>
    <col min="9" max="16384" width="9.140625" style="257" customWidth="1"/>
  </cols>
  <sheetData>
    <row r="1" spans="1:5" ht="24.75">
      <c r="A1" s="469" t="s">
        <v>288</v>
      </c>
      <c r="B1" s="469"/>
      <c r="C1" s="469"/>
      <c r="D1" s="469"/>
      <c r="E1" s="469"/>
    </row>
    <row r="2" spans="1:5" ht="24.75">
      <c r="A2" s="469" t="s">
        <v>168</v>
      </c>
      <c r="B2" s="469"/>
      <c r="C2" s="469"/>
      <c r="D2" s="469"/>
      <c r="E2" s="469"/>
    </row>
    <row r="3" spans="1:13" ht="24.75">
      <c r="A3" s="470" t="s">
        <v>453</v>
      </c>
      <c r="B3" s="469"/>
      <c r="C3" s="469"/>
      <c r="D3" s="469"/>
      <c r="E3" s="469"/>
      <c r="I3" s="258"/>
      <c r="J3" s="258"/>
      <c r="K3" s="258"/>
      <c r="L3" s="258"/>
      <c r="M3" s="258"/>
    </row>
    <row r="4" spans="1:13" ht="23.25" thickBot="1">
      <c r="A4" s="259"/>
      <c r="B4" s="259"/>
      <c r="C4" s="259"/>
      <c r="D4" s="259"/>
      <c r="E4" s="259"/>
      <c r="I4" s="258"/>
      <c r="J4" s="258"/>
      <c r="K4" s="258"/>
      <c r="L4" s="258"/>
      <c r="M4" s="258"/>
    </row>
    <row r="5" spans="1:13" ht="21.75">
      <c r="A5" s="260" t="s">
        <v>69</v>
      </c>
      <c r="B5" s="261" t="s">
        <v>51</v>
      </c>
      <c r="C5" s="262" t="s">
        <v>4</v>
      </c>
      <c r="D5" s="262" t="s">
        <v>241</v>
      </c>
      <c r="E5" s="263" t="s">
        <v>242</v>
      </c>
      <c r="I5" s="258"/>
      <c r="J5" s="258"/>
      <c r="K5" s="258"/>
      <c r="L5" s="258"/>
      <c r="M5" s="258"/>
    </row>
    <row r="6" spans="1:13" ht="22.5" thickBot="1">
      <c r="A6" s="264"/>
      <c r="B6" s="265"/>
      <c r="C6" s="266"/>
      <c r="D6" s="266"/>
      <c r="E6" s="265" t="s">
        <v>100</v>
      </c>
      <c r="I6" s="258"/>
      <c r="J6" s="258"/>
      <c r="K6" s="258"/>
      <c r="L6" s="258"/>
      <c r="M6" s="258"/>
    </row>
    <row r="7" spans="1:13" ht="21.75">
      <c r="A7" s="267" t="s">
        <v>169</v>
      </c>
      <c r="B7" s="268"/>
      <c r="C7" s="269"/>
      <c r="D7" s="269"/>
      <c r="E7" s="270"/>
      <c r="I7" s="258"/>
      <c r="J7" s="258"/>
      <c r="K7" s="258"/>
      <c r="L7" s="258"/>
      <c r="M7" s="258"/>
    </row>
    <row r="8" spans="1:13" ht="21.75">
      <c r="A8" s="267" t="s">
        <v>53</v>
      </c>
      <c r="B8" s="271" t="s">
        <v>334</v>
      </c>
      <c r="C8" s="269"/>
      <c r="D8" s="269"/>
      <c r="E8" s="270"/>
      <c r="I8" s="258"/>
      <c r="J8" s="258"/>
      <c r="K8" s="258"/>
      <c r="L8" s="258"/>
      <c r="M8" s="258"/>
    </row>
    <row r="9" spans="1:13" ht="21.75">
      <c r="A9" s="272" t="s">
        <v>170</v>
      </c>
      <c r="B9" s="271" t="s">
        <v>339</v>
      </c>
      <c r="C9" s="273">
        <v>28000</v>
      </c>
      <c r="D9" s="270"/>
      <c r="E9" s="270"/>
      <c r="H9" s="274">
        <f>E9-27819</f>
        <v>-27819</v>
      </c>
      <c r="I9" s="258"/>
      <c r="J9" s="258"/>
      <c r="K9" s="258"/>
      <c r="L9" s="258"/>
      <c r="M9" s="258"/>
    </row>
    <row r="10" spans="1:13" ht="21.75">
      <c r="A10" s="272" t="s">
        <v>171</v>
      </c>
      <c r="B10" s="271" t="s">
        <v>340</v>
      </c>
      <c r="C10" s="273">
        <v>170000</v>
      </c>
      <c r="D10" s="270"/>
      <c r="E10" s="270"/>
      <c r="H10" s="274">
        <f>E10-163985.82</f>
        <v>-163985.82</v>
      </c>
      <c r="I10" s="258"/>
      <c r="J10" s="258"/>
      <c r="K10" s="258"/>
      <c r="L10" s="258"/>
      <c r="M10" s="258"/>
    </row>
    <row r="11" spans="1:13" ht="21.75">
      <c r="A11" s="272" t="s">
        <v>172</v>
      </c>
      <c r="B11" s="271" t="s">
        <v>341</v>
      </c>
      <c r="C11" s="273">
        <v>5000</v>
      </c>
      <c r="D11" s="273"/>
      <c r="E11" s="270"/>
      <c r="H11" s="274">
        <f>E11-5553</f>
        <v>-5553</v>
      </c>
      <c r="I11" s="258"/>
      <c r="J11" s="258"/>
      <c r="K11" s="258"/>
      <c r="L11" s="258"/>
      <c r="M11" s="258"/>
    </row>
    <row r="12" spans="1:13" ht="21.75">
      <c r="A12" s="272" t="s">
        <v>173</v>
      </c>
      <c r="B12" s="271" t="s">
        <v>342</v>
      </c>
      <c r="C12" s="275" t="s">
        <v>174</v>
      </c>
      <c r="D12" s="276"/>
      <c r="E12" s="270"/>
      <c r="I12" s="258"/>
      <c r="J12" s="258"/>
      <c r="K12" s="258"/>
      <c r="L12" s="258"/>
      <c r="M12" s="258"/>
    </row>
    <row r="13" spans="1:13" ht="21.75">
      <c r="A13" s="272" t="s">
        <v>175</v>
      </c>
      <c r="B13" s="271" t="s">
        <v>343</v>
      </c>
      <c r="C13" s="269"/>
      <c r="D13" s="273"/>
      <c r="E13" s="270"/>
      <c r="I13" s="258"/>
      <c r="J13" s="258"/>
      <c r="K13" s="258"/>
      <c r="L13" s="258"/>
      <c r="M13" s="258"/>
    </row>
    <row r="14" spans="1:13" ht="22.5" thickBot="1">
      <c r="A14" s="272" t="s">
        <v>176</v>
      </c>
      <c r="B14" s="277" t="s">
        <v>344</v>
      </c>
      <c r="C14" s="269"/>
      <c r="D14" s="273"/>
      <c r="E14" s="270"/>
      <c r="I14" s="258"/>
      <c r="J14" s="258"/>
      <c r="K14" s="258"/>
      <c r="L14" s="258"/>
      <c r="M14" s="258"/>
    </row>
    <row r="15" spans="1:8" ht="22.5" thickBot="1">
      <c r="A15" s="278" t="s">
        <v>50</v>
      </c>
      <c r="B15" s="279"/>
      <c r="C15" s="280">
        <f>SUM(C9:C14)</f>
        <v>203000</v>
      </c>
      <c r="D15" s="280">
        <f>D9+D10+D11+D12+D13+D14</f>
        <v>0</v>
      </c>
      <c r="E15" s="281">
        <f>E9+E10+E11+E12+E13+E14</f>
        <v>0</v>
      </c>
      <c r="H15" s="274"/>
    </row>
    <row r="16" spans="1:5" ht="21.75">
      <c r="A16" s="267" t="s">
        <v>177</v>
      </c>
      <c r="B16" s="282" t="s">
        <v>335</v>
      </c>
      <c r="C16" s="275" t="s">
        <v>174</v>
      </c>
      <c r="D16" s="276"/>
      <c r="E16" s="270"/>
    </row>
    <row r="17" spans="1:5" ht="21.75">
      <c r="A17" s="272" t="s">
        <v>178</v>
      </c>
      <c r="B17" s="271" t="s">
        <v>345</v>
      </c>
      <c r="C17" s="275" t="s">
        <v>174</v>
      </c>
      <c r="D17" s="275"/>
      <c r="E17" s="270"/>
    </row>
    <row r="18" spans="1:8" ht="21.75">
      <c r="A18" s="272" t="s">
        <v>289</v>
      </c>
      <c r="B18" s="271" t="s">
        <v>346</v>
      </c>
      <c r="C18" s="273"/>
      <c r="D18" s="273"/>
      <c r="E18" s="270"/>
      <c r="H18" s="274">
        <f>E18-1067</f>
        <v>-1067</v>
      </c>
    </row>
    <row r="19" spans="1:11" ht="21.75">
      <c r="A19" s="272" t="s">
        <v>290</v>
      </c>
      <c r="B19" s="271" t="s">
        <v>347</v>
      </c>
      <c r="C19" s="273">
        <v>10000</v>
      </c>
      <c r="D19" s="276"/>
      <c r="E19" s="270"/>
      <c r="K19" s="258"/>
    </row>
    <row r="20" spans="1:8" ht="21.75">
      <c r="A20" s="272" t="s">
        <v>291</v>
      </c>
      <c r="B20" s="271" t="s">
        <v>348</v>
      </c>
      <c r="C20" s="273">
        <v>1000</v>
      </c>
      <c r="D20" s="276"/>
      <c r="E20" s="270"/>
      <c r="H20" s="257">
        <f>E20140</f>
        <v>0</v>
      </c>
    </row>
    <row r="21" spans="1:8" ht="21.75">
      <c r="A21" s="272" t="s">
        <v>179</v>
      </c>
      <c r="B21" s="271" t="s">
        <v>349</v>
      </c>
      <c r="C21" s="273"/>
      <c r="D21" s="273">
        <v>321.5</v>
      </c>
      <c r="E21" s="270">
        <f>D21+204</f>
        <v>525.5</v>
      </c>
      <c r="F21" s="274"/>
      <c r="H21" s="274">
        <f>E21-430</f>
        <v>95.5</v>
      </c>
    </row>
    <row r="22" spans="1:6" ht="21.75">
      <c r="A22" s="272" t="s">
        <v>180</v>
      </c>
      <c r="B22" s="271" t="s">
        <v>350</v>
      </c>
      <c r="C22" s="273"/>
      <c r="D22" s="273"/>
      <c r="E22" s="270"/>
      <c r="F22" s="274"/>
    </row>
    <row r="23" spans="1:6" ht="21.75">
      <c r="A23" s="272" t="s">
        <v>181</v>
      </c>
      <c r="B23" s="271" t="s">
        <v>351</v>
      </c>
      <c r="C23" s="273"/>
      <c r="D23" s="273"/>
      <c r="E23" s="270"/>
      <c r="F23" s="274"/>
    </row>
    <row r="24" spans="1:5" ht="21.75">
      <c r="A24" s="272" t="s">
        <v>182</v>
      </c>
      <c r="B24" s="271"/>
      <c r="C24" s="269"/>
      <c r="D24" s="269"/>
      <c r="E24" s="270"/>
    </row>
    <row r="25" spans="1:5" ht="21.75">
      <c r="A25" s="272" t="s">
        <v>183</v>
      </c>
      <c r="B25" s="271" t="s">
        <v>352</v>
      </c>
      <c r="C25" s="275" t="s">
        <v>174</v>
      </c>
      <c r="D25" s="275"/>
      <c r="E25" s="270"/>
    </row>
    <row r="26" spans="1:5" ht="21.75">
      <c r="A26" s="272" t="s">
        <v>184</v>
      </c>
      <c r="B26" s="271" t="s">
        <v>353</v>
      </c>
      <c r="C26" s="275" t="s">
        <v>174</v>
      </c>
      <c r="D26" s="275"/>
      <c r="E26" s="270"/>
    </row>
    <row r="27" spans="1:5" ht="21.75">
      <c r="A27" s="272" t="s">
        <v>185</v>
      </c>
      <c r="B27" s="271"/>
      <c r="C27" s="269"/>
      <c r="D27" s="269"/>
      <c r="E27" s="270"/>
    </row>
    <row r="28" spans="1:6" ht="21.75">
      <c r="A28" s="272" t="s">
        <v>186</v>
      </c>
      <c r="B28" s="271" t="s">
        <v>354</v>
      </c>
      <c r="C28" s="273"/>
      <c r="D28" s="273"/>
      <c r="E28" s="270"/>
      <c r="F28" s="274"/>
    </row>
    <row r="29" spans="1:5" ht="21.75">
      <c r="A29" s="272" t="s">
        <v>187</v>
      </c>
      <c r="B29" s="271" t="s">
        <v>355</v>
      </c>
      <c r="C29" s="275" t="s">
        <v>174</v>
      </c>
      <c r="D29" s="275"/>
      <c r="E29" s="270"/>
    </row>
    <row r="30" spans="1:5" ht="21.75">
      <c r="A30" s="272" t="s">
        <v>188</v>
      </c>
      <c r="B30" s="271" t="s">
        <v>356</v>
      </c>
      <c r="C30" s="275" t="s">
        <v>174</v>
      </c>
      <c r="D30" s="275"/>
      <c r="E30" s="270"/>
    </row>
    <row r="31" spans="1:5" ht="21.75">
      <c r="A31" s="272" t="s">
        <v>189</v>
      </c>
      <c r="B31" s="271" t="s">
        <v>357</v>
      </c>
      <c r="C31" s="275" t="s">
        <v>174</v>
      </c>
      <c r="D31" s="275"/>
      <c r="E31" s="270"/>
    </row>
    <row r="32" spans="1:13" ht="21.75">
      <c r="A32" s="272" t="s">
        <v>190</v>
      </c>
      <c r="B32" s="271"/>
      <c r="C32" s="275"/>
      <c r="D32" s="275"/>
      <c r="E32" s="270"/>
      <c r="I32" s="283"/>
      <c r="J32" s="283"/>
      <c r="K32" s="283"/>
      <c r="L32" s="283"/>
      <c r="M32" s="283"/>
    </row>
    <row r="33" spans="1:13" ht="21.75">
      <c r="A33" s="272" t="s">
        <v>191</v>
      </c>
      <c r="B33" s="271" t="s">
        <v>358</v>
      </c>
      <c r="C33" s="275" t="s">
        <v>174</v>
      </c>
      <c r="D33" s="275"/>
      <c r="E33" s="270"/>
      <c r="I33" s="283"/>
      <c r="J33" s="283"/>
      <c r="K33" s="283"/>
      <c r="L33" s="283"/>
      <c r="M33" s="283"/>
    </row>
    <row r="34" spans="1:5" ht="21.75">
      <c r="A34" s="272" t="s">
        <v>192</v>
      </c>
      <c r="B34" s="271" t="s">
        <v>359</v>
      </c>
      <c r="C34" s="275" t="s">
        <v>174</v>
      </c>
      <c r="D34" s="275"/>
      <c r="E34" s="270"/>
    </row>
    <row r="35" spans="1:5" ht="21.75">
      <c r="A35" s="272" t="s">
        <v>193</v>
      </c>
      <c r="B35" s="271" t="s">
        <v>360</v>
      </c>
      <c r="C35" s="275"/>
      <c r="D35" s="275"/>
      <c r="E35" s="270"/>
    </row>
    <row r="36" spans="1:6" ht="21.75">
      <c r="A36" s="284" t="s">
        <v>243</v>
      </c>
      <c r="B36" s="285" t="s">
        <v>361</v>
      </c>
      <c r="C36" s="286" t="s">
        <v>174</v>
      </c>
      <c r="D36" s="286"/>
      <c r="E36" s="287"/>
      <c r="F36" s="288"/>
    </row>
    <row r="37" spans="1:5" s="258" customFormat="1" ht="21.75">
      <c r="A37" s="289"/>
      <c r="B37" s="290"/>
      <c r="C37" s="291"/>
      <c r="D37" s="291"/>
      <c r="E37" s="292"/>
    </row>
    <row r="38" spans="1:5" ht="21.75">
      <c r="A38" s="293" t="s">
        <v>69</v>
      </c>
      <c r="B38" s="294" t="s">
        <v>51</v>
      </c>
      <c r="C38" s="294" t="s">
        <v>4</v>
      </c>
      <c r="D38" s="294" t="s">
        <v>241</v>
      </c>
      <c r="E38" s="295" t="s">
        <v>242</v>
      </c>
    </row>
    <row r="39" spans="1:5" ht="22.5" thickBot="1">
      <c r="A39" s="264"/>
      <c r="B39" s="265"/>
      <c r="C39" s="266"/>
      <c r="D39" s="266"/>
      <c r="E39" s="296" t="s">
        <v>100</v>
      </c>
    </row>
    <row r="40" spans="1:5" ht="21.75">
      <c r="A40" s="272" t="s">
        <v>194</v>
      </c>
      <c r="B40" s="282" t="s">
        <v>362</v>
      </c>
      <c r="C40" s="275"/>
      <c r="D40" s="276"/>
      <c r="E40" s="270"/>
    </row>
    <row r="41" spans="1:6" ht="21.75">
      <c r="A41" s="272" t="s">
        <v>195</v>
      </c>
      <c r="B41" s="271" t="s">
        <v>363</v>
      </c>
      <c r="C41" s="276">
        <v>0</v>
      </c>
      <c r="D41" s="276"/>
      <c r="E41" s="270"/>
      <c r="F41" s="274"/>
    </row>
    <row r="42" spans="1:5" ht="21.75">
      <c r="A42" s="272" t="s">
        <v>196</v>
      </c>
      <c r="B42" s="271" t="s">
        <v>364</v>
      </c>
      <c r="C42" s="275"/>
      <c r="D42" s="276"/>
      <c r="E42" s="270"/>
    </row>
    <row r="43" spans="1:6" ht="21.75">
      <c r="A43" s="272" t="s">
        <v>282</v>
      </c>
      <c r="B43" s="271" t="s">
        <v>365</v>
      </c>
      <c r="C43" s="276"/>
      <c r="D43" s="276"/>
      <c r="E43" s="270"/>
      <c r="F43" s="274"/>
    </row>
    <row r="44" spans="1:5" ht="21.75">
      <c r="A44" s="272" t="s">
        <v>294</v>
      </c>
      <c r="B44" s="271" t="s">
        <v>366</v>
      </c>
      <c r="C44" s="276"/>
      <c r="D44" s="276"/>
      <c r="E44" s="270"/>
    </row>
    <row r="45" spans="1:6" ht="21.75">
      <c r="A45" s="272" t="s">
        <v>197</v>
      </c>
      <c r="B45" s="271" t="s">
        <v>367</v>
      </c>
      <c r="C45" s="276"/>
      <c r="D45" s="276"/>
      <c r="E45" s="270"/>
      <c r="F45" s="274"/>
    </row>
    <row r="46" spans="1:11" ht="21.75">
      <c r="A46" s="272" t="s">
        <v>198</v>
      </c>
      <c r="B46" s="271"/>
      <c r="C46" s="275"/>
      <c r="D46" s="276"/>
      <c r="E46" s="270"/>
      <c r="I46" s="258"/>
      <c r="J46" s="258"/>
      <c r="K46" s="258"/>
    </row>
    <row r="47" spans="1:11" ht="21.75">
      <c r="A47" s="272" t="s">
        <v>199</v>
      </c>
      <c r="B47" s="271" t="s">
        <v>368</v>
      </c>
      <c r="C47" s="276"/>
      <c r="D47" s="276"/>
      <c r="E47" s="270"/>
      <c r="F47" s="274"/>
      <c r="I47" s="258"/>
      <c r="J47" s="258"/>
      <c r="K47" s="258"/>
    </row>
    <row r="48" spans="1:11" ht="21.75">
      <c r="A48" s="272" t="s">
        <v>200</v>
      </c>
      <c r="B48" s="271" t="s">
        <v>366</v>
      </c>
      <c r="C48" s="276"/>
      <c r="D48" s="276">
        <v>120</v>
      </c>
      <c r="E48" s="270">
        <f>D48+40</f>
        <v>160</v>
      </c>
      <c r="F48" s="274"/>
      <c r="I48" s="258"/>
      <c r="J48" s="258"/>
      <c r="K48" s="258"/>
    </row>
    <row r="49" spans="1:11" ht="21.75">
      <c r="A49" s="272" t="s">
        <v>201</v>
      </c>
      <c r="B49" s="271" t="s">
        <v>369</v>
      </c>
      <c r="C49" s="276"/>
      <c r="D49" s="276"/>
      <c r="E49" s="270"/>
      <c r="F49" s="274"/>
      <c r="I49" s="258"/>
      <c r="J49" s="258"/>
      <c r="K49" s="258"/>
    </row>
    <row r="50" spans="1:11" ht="21.75">
      <c r="A50" s="383" t="s">
        <v>454</v>
      </c>
      <c r="B50" s="271" t="s">
        <v>370</v>
      </c>
      <c r="C50" s="276"/>
      <c r="D50" s="276">
        <v>4580</v>
      </c>
      <c r="E50" s="270">
        <f>D50</f>
        <v>4580</v>
      </c>
      <c r="F50" s="274"/>
      <c r="I50" s="258"/>
      <c r="J50" s="258"/>
      <c r="K50" s="258"/>
    </row>
    <row r="51" spans="1:11" ht="21.75">
      <c r="A51" s="272" t="s">
        <v>202</v>
      </c>
      <c r="B51" s="271" t="s">
        <v>371</v>
      </c>
      <c r="C51" s="276">
        <v>9000</v>
      </c>
      <c r="D51" s="276"/>
      <c r="E51" s="270"/>
      <c r="F51" s="274"/>
      <c r="I51" s="258"/>
      <c r="J51" s="258"/>
      <c r="K51" s="258"/>
    </row>
    <row r="52" spans="1:11" ht="21.75">
      <c r="A52" s="272" t="s">
        <v>203</v>
      </c>
      <c r="B52" s="271" t="s">
        <v>372</v>
      </c>
      <c r="C52" s="276"/>
      <c r="D52" s="276"/>
      <c r="E52" s="270"/>
      <c r="F52" s="274"/>
      <c r="I52" s="258"/>
      <c r="J52" s="258"/>
      <c r="K52" s="258"/>
    </row>
    <row r="53" spans="1:11" ht="22.5" thickBot="1">
      <c r="A53" s="272" t="s">
        <v>204</v>
      </c>
      <c r="B53" s="271" t="s">
        <v>373</v>
      </c>
      <c r="C53" s="297"/>
      <c r="D53" s="276"/>
      <c r="E53" s="270"/>
      <c r="F53" s="274"/>
      <c r="I53" s="258"/>
      <c r="J53" s="258"/>
      <c r="K53" s="258"/>
    </row>
    <row r="54" spans="1:11" ht="22.5" thickBot="1">
      <c r="A54" s="278" t="s">
        <v>50</v>
      </c>
      <c r="B54" s="269"/>
      <c r="C54" s="298">
        <f>SUM(C18:C53)</f>
        <v>20000</v>
      </c>
      <c r="D54" s="299">
        <f>SUM(D17:D53)</f>
        <v>5021.5</v>
      </c>
      <c r="E54" s="300">
        <f>SUM(E17:E53)</f>
        <v>5265.5</v>
      </c>
      <c r="F54" s="274"/>
      <c r="G54" s="274"/>
      <c r="H54" s="274">
        <f>13033.4-E54</f>
        <v>7767.9</v>
      </c>
      <c r="I54" s="258"/>
      <c r="J54" s="258"/>
      <c r="K54" s="258"/>
    </row>
    <row r="55" spans="1:11" ht="21.75">
      <c r="A55" s="267" t="s">
        <v>54</v>
      </c>
      <c r="B55" s="271" t="s">
        <v>374</v>
      </c>
      <c r="C55" s="275"/>
      <c r="D55" s="275"/>
      <c r="E55" s="270"/>
      <c r="I55" s="258"/>
      <c r="J55" s="258"/>
      <c r="K55" s="258"/>
    </row>
    <row r="56" spans="1:5" ht="21.75">
      <c r="A56" s="272" t="s">
        <v>205</v>
      </c>
      <c r="B56" s="271" t="s">
        <v>375</v>
      </c>
      <c r="C56" s="275"/>
      <c r="D56" s="275"/>
      <c r="E56" s="270"/>
    </row>
    <row r="57" spans="1:5" ht="21.75">
      <c r="A57" s="272" t="s">
        <v>206</v>
      </c>
      <c r="B57" s="271" t="s">
        <v>376</v>
      </c>
      <c r="C57" s="276"/>
      <c r="D57" s="276"/>
      <c r="E57" s="270"/>
    </row>
    <row r="58" spans="1:5" ht="21.75">
      <c r="A58" s="272" t="s">
        <v>207</v>
      </c>
      <c r="B58" s="271" t="s">
        <v>377</v>
      </c>
      <c r="C58" s="276">
        <v>150000</v>
      </c>
      <c r="D58" s="276"/>
      <c r="E58" s="270"/>
    </row>
    <row r="59" spans="1:5" ht="22.5" thickBot="1">
      <c r="A59" s="272" t="s">
        <v>379</v>
      </c>
      <c r="B59" s="271" t="s">
        <v>378</v>
      </c>
      <c r="C59" s="275"/>
      <c r="D59" s="276"/>
      <c r="E59" s="270"/>
    </row>
    <row r="60" spans="1:8" ht="22.5" thickBot="1">
      <c r="A60" s="278" t="s">
        <v>50</v>
      </c>
      <c r="B60" s="271"/>
      <c r="C60" s="299">
        <f>SUM(C57:C59)</f>
        <v>150000</v>
      </c>
      <c r="D60" s="299">
        <f>SUM(D56:D59)</f>
        <v>0</v>
      </c>
      <c r="E60" s="300">
        <f>SUM(E56:E59)</f>
        <v>0</v>
      </c>
      <c r="H60" s="274">
        <f>442604.9+D60</f>
        <v>442604.9</v>
      </c>
    </row>
    <row r="61" spans="1:5" ht="21.75">
      <c r="A61" s="267" t="s">
        <v>135</v>
      </c>
      <c r="B61" s="271" t="s">
        <v>380</v>
      </c>
      <c r="C61" s="275"/>
      <c r="D61" s="275"/>
      <c r="E61" s="270"/>
    </row>
    <row r="62" spans="1:5" ht="21.75">
      <c r="A62" s="272" t="s">
        <v>208</v>
      </c>
      <c r="B62" s="271" t="s">
        <v>381</v>
      </c>
      <c r="C62" s="301"/>
      <c r="D62" s="275"/>
      <c r="E62" s="270"/>
    </row>
    <row r="63" spans="1:5" ht="21.75">
      <c r="A63" s="272" t="s">
        <v>209</v>
      </c>
      <c r="B63" s="271" t="s">
        <v>382</v>
      </c>
      <c r="C63" s="275"/>
      <c r="D63" s="275"/>
      <c r="E63" s="270"/>
    </row>
    <row r="64" spans="1:5" ht="22.5" thickBot="1">
      <c r="A64" s="272" t="s">
        <v>210</v>
      </c>
      <c r="B64" s="271" t="s">
        <v>383</v>
      </c>
      <c r="C64" s="302"/>
      <c r="D64" s="302"/>
      <c r="E64" s="303"/>
    </row>
    <row r="65" spans="1:11" ht="22.5" thickBot="1">
      <c r="A65" s="278" t="s">
        <v>50</v>
      </c>
      <c r="B65" s="271"/>
      <c r="C65" s="304">
        <f>C62+C63+C64</f>
        <v>0</v>
      </c>
      <c r="D65" s="304"/>
      <c r="E65" s="281"/>
      <c r="K65" s="305"/>
    </row>
    <row r="66" spans="1:5" ht="21.75">
      <c r="A66" s="267" t="s">
        <v>55</v>
      </c>
      <c r="B66" s="271" t="s">
        <v>336</v>
      </c>
      <c r="C66" s="275"/>
      <c r="D66" s="275"/>
      <c r="E66" s="270"/>
    </row>
    <row r="67" spans="1:6" ht="21.75">
      <c r="A67" s="272" t="s">
        <v>211</v>
      </c>
      <c r="B67" s="271" t="s">
        <v>384</v>
      </c>
      <c r="C67" s="276"/>
      <c r="D67" s="276"/>
      <c r="E67" s="270"/>
      <c r="F67" s="274"/>
    </row>
    <row r="68" spans="1:6" ht="21.75">
      <c r="A68" s="272" t="s">
        <v>212</v>
      </c>
      <c r="B68" s="271" t="s">
        <v>385</v>
      </c>
      <c r="C68" s="276">
        <v>0</v>
      </c>
      <c r="D68" s="276"/>
      <c r="E68" s="270"/>
      <c r="F68" s="274"/>
    </row>
    <row r="69" spans="1:5" ht="21.75">
      <c r="A69" s="272" t="s">
        <v>213</v>
      </c>
      <c r="B69" s="271" t="s">
        <v>386</v>
      </c>
      <c r="C69" s="275"/>
      <c r="D69" s="276"/>
      <c r="E69" s="270"/>
    </row>
    <row r="70" spans="1:5" ht="21.75">
      <c r="A70" s="272" t="s">
        <v>214</v>
      </c>
      <c r="B70" s="271" t="s">
        <v>387</v>
      </c>
      <c r="C70" s="275"/>
      <c r="D70" s="276"/>
      <c r="E70" s="270"/>
    </row>
    <row r="71" spans="1:6" ht="21.75">
      <c r="A71" s="272" t="s">
        <v>215</v>
      </c>
      <c r="B71" s="271" t="s">
        <v>388</v>
      </c>
      <c r="C71" s="276"/>
      <c r="D71" s="276"/>
      <c r="E71" s="270"/>
      <c r="F71" s="274"/>
    </row>
    <row r="72" spans="1:5" ht="21.75">
      <c r="A72" s="284" t="s">
        <v>216</v>
      </c>
      <c r="B72" s="285" t="s">
        <v>389</v>
      </c>
      <c r="C72" s="286"/>
      <c r="D72" s="286"/>
      <c r="E72" s="287"/>
    </row>
    <row r="73" spans="1:5" ht="21.75">
      <c r="A73" s="289"/>
      <c r="B73" s="290"/>
      <c r="C73" s="291"/>
      <c r="D73" s="291"/>
      <c r="E73" s="292"/>
    </row>
    <row r="74" spans="1:5" ht="21.75">
      <c r="A74" s="289"/>
      <c r="B74" s="290"/>
      <c r="C74" s="291"/>
      <c r="D74" s="291"/>
      <c r="E74" s="292"/>
    </row>
    <row r="75" spans="1:5" s="258" customFormat="1" ht="21.75">
      <c r="A75" s="289"/>
      <c r="B75" s="290"/>
      <c r="C75" s="291"/>
      <c r="D75" s="291"/>
      <c r="E75" s="292"/>
    </row>
    <row r="76" spans="1:5" s="258" customFormat="1" ht="21.75">
      <c r="A76" s="289"/>
      <c r="B76" s="290"/>
      <c r="C76" s="291"/>
      <c r="D76" s="291"/>
      <c r="E76" s="292"/>
    </row>
    <row r="77" spans="1:5" ht="21.75">
      <c r="A77" s="293" t="s">
        <v>69</v>
      </c>
      <c r="B77" s="306"/>
      <c r="C77" s="294" t="s">
        <v>4</v>
      </c>
      <c r="D77" s="294" t="s">
        <v>241</v>
      </c>
      <c r="E77" s="295" t="s">
        <v>242</v>
      </c>
    </row>
    <row r="78" spans="1:5" ht="22.5" thickBot="1">
      <c r="A78" s="264"/>
      <c r="B78" s="265"/>
      <c r="C78" s="266"/>
      <c r="D78" s="266"/>
      <c r="E78" s="296" t="s">
        <v>100</v>
      </c>
    </row>
    <row r="79" spans="1:6" ht="22.5" thickBot="1">
      <c r="A79" s="272" t="s">
        <v>217</v>
      </c>
      <c r="B79" s="307" t="s">
        <v>390</v>
      </c>
      <c r="C79" s="276">
        <v>0</v>
      </c>
      <c r="D79" s="276"/>
      <c r="E79" s="270"/>
      <c r="F79" s="274"/>
    </row>
    <row r="80" spans="1:8" ht="22.5" thickBot="1">
      <c r="A80" s="278" t="s">
        <v>50</v>
      </c>
      <c r="B80" s="279"/>
      <c r="C80" s="299">
        <f>SUM(C67:C79)</f>
        <v>0</v>
      </c>
      <c r="D80" s="299">
        <f>SUM(D62:D79)</f>
        <v>0</v>
      </c>
      <c r="E80" s="300">
        <f>SUM(E62:E79)</f>
        <v>0</v>
      </c>
      <c r="F80" s="274"/>
      <c r="H80" s="274">
        <f>242270+D80</f>
        <v>242270</v>
      </c>
    </row>
    <row r="81" spans="1:8" ht="21.75">
      <c r="A81" s="267" t="s">
        <v>56</v>
      </c>
      <c r="B81" s="282" t="s">
        <v>337</v>
      </c>
      <c r="C81" s="275" t="s">
        <v>174</v>
      </c>
      <c r="D81" s="276"/>
      <c r="E81" s="270"/>
      <c r="H81" s="257">
        <f>133681+23726</f>
        <v>157407</v>
      </c>
    </row>
    <row r="82" spans="1:5" ht="22.5" thickBot="1">
      <c r="A82" s="272" t="s">
        <v>218</v>
      </c>
      <c r="B82" s="277" t="s">
        <v>391</v>
      </c>
      <c r="C82" s="276"/>
      <c r="D82" s="276"/>
      <c r="E82" s="270"/>
    </row>
    <row r="83" spans="1:5" ht="22.5" thickBot="1">
      <c r="A83" s="278" t="s">
        <v>50</v>
      </c>
      <c r="B83" s="279"/>
      <c r="C83" s="299">
        <f>SUM(C82)</f>
        <v>0</v>
      </c>
      <c r="D83" s="299">
        <f>SUM(D82)</f>
        <v>0</v>
      </c>
      <c r="E83" s="300">
        <f>SUM(E82)</f>
        <v>0</v>
      </c>
    </row>
    <row r="84" spans="1:5" ht="21.75">
      <c r="A84" s="267" t="s">
        <v>219</v>
      </c>
      <c r="B84" s="308">
        <v>420000</v>
      </c>
      <c r="C84" s="275"/>
      <c r="D84" s="276"/>
      <c r="E84" s="270"/>
    </row>
    <row r="85" spans="1:5" ht="21.75">
      <c r="A85" s="267" t="s">
        <v>220</v>
      </c>
      <c r="B85" s="308">
        <v>421000</v>
      </c>
      <c r="C85" s="275"/>
      <c r="D85" s="275"/>
      <c r="E85" s="270"/>
    </row>
    <row r="86" spans="1:5" ht="21.75">
      <c r="A86" s="272" t="s">
        <v>221</v>
      </c>
      <c r="B86" s="308">
        <v>421001</v>
      </c>
      <c r="C86" s="276">
        <v>570000</v>
      </c>
      <c r="D86" s="270"/>
      <c r="E86" s="270"/>
    </row>
    <row r="87" spans="1:8" ht="21.75">
      <c r="A87" s="383" t="s">
        <v>455</v>
      </c>
      <c r="B87" s="308">
        <v>421003</v>
      </c>
      <c r="C87" s="276">
        <v>3000000</v>
      </c>
      <c r="D87" s="276">
        <f>243741.67+180127.94</f>
        <v>423869.61</v>
      </c>
      <c r="E87" s="270">
        <f>D87</f>
        <v>423869.61</v>
      </c>
      <c r="H87" s="270">
        <f>E87-1957656.23</f>
        <v>-1533786.62</v>
      </c>
    </row>
    <row r="88" spans="1:8" ht="21.75">
      <c r="A88" s="383" t="s">
        <v>222</v>
      </c>
      <c r="B88" s="308">
        <v>421002</v>
      </c>
      <c r="C88" s="276">
        <v>8000000</v>
      </c>
      <c r="D88" s="276">
        <v>625793.89</v>
      </c>
      <c r="E88" s="270">
        <f>D88</f>
        <v>625793.89</v>
      </c>
      <c r="H88" s="270">
        <f>E88-4057378.65</f>
        <v>-3431584.76</v>
      </c>
    </row>
    <row r="89" spans="1:8" ht="21.75">
      <c r="A89" s="272" t="s">
        <v>223</v>
      </c>
      <c r="B89" s="308">
        <v>421005</v>
      </c>
      <c r="C89" s="276">
        <v>50000</v>
      </c>
      <c r="D89" s="276"/>
      <c r="E89" s="270"/>
      <c r="H89" s="270"/>
    </row>
    <row r="90" spans="1:8" ht="21.75">
      <c r="A90" s="272" t="s">
        <v>224</v>
      </c>
      <c r="B90" s="308">
        <v>421006</v>
      </c>
      <c r="C90" s="276">
        <v>1700000</v>
      </c>
      <c r="D90" s="276"/>
      <c r="E90" s="270"/>
      <c r="H90" s="270">
        <f>E90-1092741.87</f>
        <v>-1092741.87</v>
      </c>
    </row>
    <row r="91" spans="1:8" ht="21.75">
      <c r="A91" s="272" t="s">
        <v>225</v>
      </c>
      <c r="B91" s="308">
        <v>421007</v>
      </c>
      <c r="C91" s="276">
        <v>3400000</v>
      </c>
      <c r="D91" s="276">
        <f>911887.23</f>
        <v>911887.23</v>
      </c>
      <c r="E91" s="270">
        <f>D91</f>
        <v>911887.23</v>
      </c>
      <c r="H91" s="270">
        <f>E91-2604436.53</f>
        <v>-1692549.2999999998</v>
      </c>
    </row>
    <row r="92" spans="1:8" ht="21.75">
      <c r="A92" s="272" t="s">
        <v>226</v>
      </c>
      <c r="B92" s="308">
        <v>421008</v>
      </c>
      <c r="C92" s="275"/>
      <c r="D92" s="275"/>
      <c r="E92" s="270"/>
      <c r="H92" s="270"/>
    </row>
    <row r="93" spans="1:8" ht="21.75">
      <c r="A93" s="272" t="s">
        <v>227</v>
      </c>
      <c r="B93" s="308">
        <v>421009</v>
      </c>
      <c r="C93" s="275"/>
      <c r="D93" s="275"/>
      <c r="E93" s="270"/>
      <c r="H93" s="270"/>
    </row>
    <row r="94" spans="1:8" ht="21.75">
      <c r="A94" s="272" t="s">
        <v>292</v>
      </c>
      <c r="B94" s="308">
        <v>421012</v>
      </c>
      <c r="C94" s="276">
        <v>50000</v>
      </c>
      <c r="D94" s="276"/>
      <c r="E94" s="270"/>
      <c r="H94" s="270"/>
    </row>
    <row r="95" spans="1:8" ht="21.75">
      <c r="A95" s="272" t="s">
        <v>392</v>
      </c>
      <c r="B95" s="308">
        <v>421013</v>
      </c>
      <c r="C95" s="276">
        <v>50000</v>
      </c>
      <c r="D95" s="276">
        <f>10681.63</f>
        <v>10681.63</v>
      </c>
      <c r="E95" s="270">
        <f>D95</f>
        <v>10681.63</v>
      </c>
      <c r="H95" s="270"/>
    </row>
    <row r="96" spans="1:5" ht="21.75">
      <c r="A96" s="272" t="s">
        <v>393</v>
      </c>
      <c r="B96" s="308">
        <v>421014</v>
      </c>
      <c r="C96" s="275"/>
      <c r="D96" s="275"/>
      <c r="E96" s="270"/>
    </row>
    <row r="97" spans="1:5" ht="21.75">
      <c r="A97" s="272" t="s">
        <v>394</v>
      </c>
      <c r="B97" s="308">
        <v>421015</v>
      </c>
      <c r="C97" s="276">
        <v>1200000</v>
      </c>
      <c r="D97" s="276"/>
      <c r="E97" s="270"/>
    </row>
    <row r="98" spans="1:5" ht="21.75">
      <c r="A98" s="272" t="s">
        <v>395</v>
      </c>
      <c r="B98" s="308">
        <v>421999</v>
      </c>
      <c r="C98" s="275"/>
      <c r="D98" s="275"/>
      <c r="E98" s="270"/>
    </row>
    <row r="99" spans="1:5" ht="21.75">
      <c r="A99" s="272" t="s">
        <v>396</v>
      </c>
      <c r="B99" s="308">
        <v>421017</v>
      </c>
      <c r="C99" s="275"/>
      <c r="D99" s="275"/>
      <c r="E99" s="270"/>
    </row>
    <row r="100" spans="1:5" ht="22.5" thickBot="1">
      <c r="A100" s="272"/>
      <c r="B100" s="308"/>
      <c r="C100" s="275"/>
      <c r="D100" s="276"/>
      <c r="E100" s="270"/>
    </row>
    <row r="101" spans="1:8" ht="22.5" thickBot="1">
      <c r="A101" s="278" t="s">
        <v>50</v>
      </c>
      <c r="B101" s="279"/>
      <c r="C101" s="299">
        <f>SUM(C86:C100)</f>
        <v>18020000</v>
      </c>
      <c r="D101" s="299">
        <f>SUM(D86:D100)</f>
        <v>1972232.3599999999</v>
      </c>
      <c r="E101" s="300">
        <f>SUM(E86:E100)</f>
        <v>1972232.3599999999</v>
      </c>
      <c r="H101" s="274">
        <f>E101-35755937.88</f>
        <v>-33783705.52</v>
      </c>
    </row>
    <row r="102" spans="1:5" ht="21.75">
      <c r="A102" s="267" t="s">
        <v>228</v>
      </c>
      <c r="B102" s="308">
        <v>430000</v>
      </c>
      <c r="C102" s="275"/>
      <c r="D102" s="275"/>
      <c r="E102" s="270"/>
    </row>
    <row r="103" spans="1:5" ht="21.75">
      <c r="A103" s="267" t="s">
        <v>57</v>
      </c>
      <c r="B103" s="308"/>
      <c r="C103" s="276">
        <v>22800000</v>
      </c>
      <c r="D103" s="275"/>
      <c r="E103" s="270"/>
    </row>
    <row r="104" spans="1:6" ht="21.75">
      <c r="A104" s="272" t="s">
        <v>293</v>
      </c>
      <c r="B104" s="308">
        <v>431002</v>
      </c>
      <c r="C104" s="276"/>
      <c r="D104" s="276">
        <f>2984106</f>
        <v>2984106</v>
      </c>
      <c r="E104" s="270">
        <f>D104</f>
        <v>2984106</v>
      </c>
      <c r="F104" s="274">
        <f>SUM(C104:E104)</f>
        <v>5968212</v>
      </c>
    </row>
    <row r="105" spans="1:5" ht="21.75">
      <c r="A105" s="272" t="s">
        <v>397</v>
      </c>
      <c r="B105" s="308">
        <v>431001</v>
      </c>
      <c r="C105" s="275"/>
      <c r="D105" s="276"/>
      <c r="E105" s="270"/>
    </row>
    <row r="106" spans="1:12" ht="21.75">
      <c r="A106" s="272" t="s">
        <v>229</v>
      </c>
      <c r="B106" s="308">
        <v>431003</v>
      </c>
      <c r="C106" s="275"/>
      <c r="D106" s="276">
        <f>284076</f>
        <v>284076</v>
      </c>
      <c r="E106" s="270">
        <f>D106</f>
        <v>284076</v>
      </c>
      <c r="L106" s="258"/>
    </row>
    <row r="107" spans="1:5" ht="21.75">
      <c r="A107" s="272" t="s">
        <v>230</v>
      </c>
      <c r="B107" s="308">
        <v>431004</v>
      </c>
      <c r="C107" s="275"/>
      <c r="D107" s="276">
        <f>616400</f>
        <v>616400</v>
      </c>
      <c r="E107" s="270">
        <f>D107</f>
        <v>616400</v>
      </c>
    </row>
    <row r="108" spans="1:5" ht="21.75">
      <c r="A108" s="272" t="s">
        <v>264</v>
      </c>
      <c r="B108" s="308">
        <v>431005</v>
      </c>
      <c r="C108" s="275"/>
      <c r="D108" s="276"/>
      <c r="E108" s="270"/>
    </row>
    <row r="109" spans="1:5" ht="21.75">
      <c r="A109" s="272" t="s">
        <v>408</v>
      </c>
      <c r="B109" s="308">
        <v>431006</v>
      </c>
      <c r="C109" s="275"/>
      <c r="D109" s="276">
        <f>278370</f>
        <v>278370</v>
      </c>
      <c r="E109" s="270">
        <f>D109</f>
        <v>278370</v>
      </c>
    </row>
    <row r="110" spans="1:5" ht="21.75">
      <c r="A110" s="284" t="s">
        <v>231</v>
      </c>
      <c r="B110" s="309">
        <v>431007</v>
      </c>
      <c r="C110" s="286"/>
      <c r="D110" s="310">
        <v>16500</v>
      </c>
      <c r="E110" s="270">
        <f>D110</f>
        <v>16500</v>
      </c>
    </row>
    <row r="111" spans="1:5" ht="21.75">
      <c r="A111" s="289"/>
      <c r="B111" s="312"/>
      <c r="C111" s="291"/>
      <c r="D111" s="313"/>
      <c r="E111" s="292"/>
    </row>
    <row r="112" spans="1:5" ht="21.75">
      <c r="A112" s="289"/>
      <c r="B112" s="312"/>
      <c r="C112" s="291"/>
      <c r="D112" s="313"/>
      <c r="E112" s="292"/>
    </row>
    <row r="113" spans="1:5" s="258" customFormat="1" ht="21.75">
      <c r="A113" s="289"/>
      <c r="B113" s="312"/>
      <c r="C113" s="291"/>
      <c r="D113" s="313"/>
      <c r="E113" s="292"/>
    </row>
    <row r="114" spans="1:5" ht="21.75">
      <c r="A114" s="314" t="s">
        <v>69</v>
      </c>
      <c r="B114" s="315" t="s">
        <v>51</v>
      </c>
      <c r="C114" s="316" t="s">
        <v>4</v>
      </c>
      <c r="D114" s="316" t="s">
        <v>241</v>
      </c>
      <c r="E114" s="317" t="s">
        <v>242</v>
      </c>
    </row>
    <row r="115" spans="1:5" ht="22.5" thickBot="1">
      <c r="A115" s="318"/>
      <c r="B115" s="319"/>
      <c r="C115" s="320"/>
      <c r="D115" s="320"/>
      <c r="E115" s="321" t="s">
        <v>100</v>
      </c>
    </row>
    <row r="116" spans="1:5" ht="21.75">
      <c r="A116" s="272" t="s">
        <v>232</v>
      </c>
      <c r="B116" s="308">
        <v>431008</v>
      </c>
      <c r="C116" s="275"/>
      <c r="D116" s="276"/>
      <c r="E116" s="270"/>
    </row>
    <row r="117" spans="1:5" ht="21.75">
      <c r="A117" s="272" t="s">
        <v>233</v>
      </c>
      <c r="B117" s="322">
        <v>431009</v>
      </c>
      <c r="C117" s="275"/>
      <c r="D117" s="276"/>
      <c r="E117" s="273"/>
    </row>
    <row r="118" spans="1:5" ht="21.75">
      <c r="A118" s="272" t="s">
        <v>235</v>
      </c>
      <c r="B118" s="322">
        <v>441001</v>
      </c>
      <c r="C118" s="275"/>
      <c r="D118" s="276"/>
      <c r="E118" s="270"/>
    </row>
    <row r="119" spans="1:5" ht="21.75">
      <c r="A119" s="272" t="s">
        <v>236</v>
      </c>
      <c r="B119" s="322">
        <v>441002</v>
      </c>
      <c r="C119" s="275"/>
      <c r="D119" s="276">
        <v>1967700</v>
      </c>
      <c r="E119" s="270">
        <f>D119</f>
        <v>1967700</v>
      </c>
    </row>
    <row r="120" spans="1:5" ht="21.75">
      <c r="A120" s="272" t="s">
        <v>237</v>
      </c>
      <c r="B120" s="322">
        <v>441003</v>
      </c>
      <c r="C120" s="275"/>
      <c r="D120" s="276">
        <v>828000</v>
      </c>
      <c r="E120" s="270">
        <f>D120</f>
        <v>828000</v>
      </c>
    </row>
    <row r="121" spans="1:5" ht="21.75">
      <c r="A121" s="272" t="s">
        <v>403</v>
      </c>
      <c r="B121" s="322">
        <v>441003</v>
      </c>
      <c r="C121" s="275"/>
      <c r="D121" s="276"/>
      <c r="E121" s="270"/>
    </row>
    <row r="122" spans="1:5" ht="21.75">
      <c r="A122" s="272" t="s">
        <v>238</v>
      </c>
      <c r="B122" s="322">
        <v>441005</v>
      </c>
      <c r="C122" s="275"/>
      <c r="D122" s="276"/>
      <c r="E122" s="270"/>
    </row>
    <row r="123" spans="1:5" ht="21.75">
      <c r="A123" s="272" t="s">
        <v>239</v>
      </c>
      <c r="B123" s="322">
        <v>441006</v>
      </c>
      <c r="C123" s="275"/>
      <c r="D123" s="276"/>
      <c r="E123" s="270"/>
    </row>
    <row r="124" spans="1:5" ht="21.75">
      <c r="A124" s="272" t="s">
        <v>265</v>
      </c>
      <c r="B124" s="322">
        <v>441007</v>
      </c>
      <c r="C124" s="275"/>
      <c r="D124" s="276"/>
      <c r="E124" s="270"/>
    </row>
    <row r="125" spans="1:5" ht="21.75">
      <c r="A125" s="272" t="s">
        <v>247</v>
      </c>
      <c r="B125" s="322">
        <v>441008</v>
      </c>
      <c r="C125" s="275"/>
      <c r="D125" s="276">
        <v>132600</v>
      </c>
      <c r="E125" s="270">
        <f>D125</f>
        <v>132600</v>
      </c>
    </row>
    <row r="126" spans="1:10" ht="21.75">
      <c r="A126" s="272" t="s">
        <v>248</v>
      </c>
      <c r="B126" s="322">
        <v>441009</v>
      </c>
      <c r="C126" s="275"/>
      <c r="D126" s="276"/>
      <c r="E126" s="270"/>
      <c r="J126" s="258"/>
    </row>
    <row r="127" spans="1:5" ht="21.75">
      <c r="A127" s="272" t="s">
        <v>249</v>
      </c>
      <c r="B127" s="322">
        <v>441010</v>
      </c>
      <c r="C127" s="275"/>
      <c r="D127" s="276"/>
      <c r="E127" s="270"/>
    </row>
    <row r="128" spans="1:5" ht="21.75">
      <c r="A128" s="272" t="s">
        <v>253</v>
      </c>
      <c r="B128" s="322">
        <v>441011</v>
      </c>
      <c r="C128" s="275"/>
      <c r="D128" s="276"/>
      <c r="E128" s="270"/>
    </row>
    <row r="129" spans="1:5" ht="21.75">
      <c r="A129" s="272" t="s">
        <v>254</v>
      </c>
      <c r="B129" s="322">
        <v>441012</v>
      </c>
      <c r="C129" s="275"/>
      <c r="D129" s="276"/>
      <c r="E129" s="270"/>
    </row>
    <row r="130" spans="1:5" ht="21.75">
      <c r="A130" s="272" t="s">
        <v>255</v>
      </c>
      <c r="B130" s="322">
        <v>441013</v>
      </c>
      <c r="C130" s="275"/>
      <c r="D130" s="276"/>
      <c r="E130" s="270"/>
    </row>
    <row r="131" spans="1:5" ht="21.75">
      <c r="A131" s="272" t="s">
        <v>256</v>
      </c>
      <c r="B131" s="322">
        <v>441014</v>
      </c>
      <c r="C131" s="275"/>
      <c r="D131" s="276"/>
      <c r="E131" s="270"/>
    </row>
    <row r="132" spans="1:5" ht="21.75">
      <c r="A132" s="272" t="s">
        <v>258</v>
      </c>
      <c r="B132" s="322">
        <v>441015</v>
      </c>
      <c r="C132" s="275"/>
      <c r="D132" s="276"/>
      <c r="E132" s="270"/>
    </row>
    <row r="133" spans="1:5" ht="21.75">
      <c r="A133" s="272" t="s">
        <v>259</v>
      </c>
      <c r="B133" s="322">
        <v>441016</v>
      </c>
      <c r="C133" s="275"/>
      <c r="D133" s="276"/>
      <c r="E133" s="270"/>
    </row>
    <row r="134" spans="1:5" ht="21.75">
      <c r="A134" s="272" t="s">
        <v>260</v>
      </c>
      <c r="B134" s="322">
        <v>441017</v>
      </c>
      <c r="C134" s="275"/>
      <c r="D134" s="276"/>
      <c r="E134" s="270"/>
    </row>
    <row r="135" spans="1:13" ht="21.75">
      <c r="A135" s="272" t="s">
        <v>271</v>
      </c>
      <c r="B135" s="322">
        <v>441018</v>
      </c>
      <c r="C135" s="286"/>
      <c r="D135" s="310"/>
      <c r="E135" s="311"/>
      <c r="M135" s="267" t="s">
        <v>234</v>
      </c>
    </row>
    <row r="136" spans="1:13" ht="21.75">
      <c r="A136" s="272"/>
      <c r="B136" s="269"/>
      <c r="C136" s="323">
        <f>C103</f>
        <v>22800000</v>
      </c>
      <c r="D136" s="323">
        <f>D104+D105+D106+D107+D109+D110+D116+D118+D119+D120+D121+D122+D123+D124+D125+D126+D127+D128+D129+D130+D131+D132+D133+D134+D135</f>
        <v>7107752</v>
      </c>
      <c r="E136" s="323">
        <f>E104+E105+E106+E107+E109+E110+E116+E118+E119+E120+E121+E122+E123+E124+E125+E126+E127+E128+E129+E130+E131+E132+E133+E134+E135</f>
        <v>7107752</v>
      </c>
      <c r="F136" s="274"/>
      <c r="H136" s="274">
        <f>15351678+D136</f>
        <v>22459430</v>
      </c>
      <c r="M136" s="267"/>
    </row>
    <row r="137" spans="1:13" ht="21.75">
      <c r="A137" s="267" t="s">
        <v>268</v>
      </c>
      <c r="B137" s="269"/>
      <c r="C137" s="275"/>
      <c r="D137" s="275"/>
      <c r="E137" s="270"/>
      <c r="M137" s="267"/>
    </row>
    <row r="138" spans="1:13" ht="21.75">
      <c r="A138" s="267" t="s">
        <v>269</v>
      </c>
      <c r="B138" s="322">
        <v>440000</v>
      </c>
      <c r="C138" s="275"/>
      <c r="D138" s="276"/>
      <c r="E138" s="270"/>
      <c r="M138" s="267"/>
    </row>
    <row r="139" spans="1:13" ht="21.75">
      <c r="A139" s="272" t="s">
        <v>270</v>
      </c>
      <c r="B139" s="322">
        <v>440001</v>
      </c>
      <c r="C139" s="275"/>
      <c r="D139" s="276"/>
      <c r="E139" s="270"/>
      <c r="M139" s="267"/>
    </row>
    <row r="140" spans="1:13" ht="21.75">
      <c r="A140" s="272" t="s">
        <v>272</v>
      </c>
      <c r="B140" s="322">
        <v>440002</v>
      </c>
      <c r="C140" s="275"/>
      <c r="D140" s="276"/>
      <c r="E140" s="270"/>
      <c r="M140" s="267"/>
    </row>
    <row r="141" spans="1:13" ht="21.75">
      <c r="A141" s="272" t="s">
        <v>273</v>
      </c>
      <c r="B141" s="322">
        <v>440003</v>
      </c>
      <c r="C141" s="275"/>
      <c r="D141" s="276"/>
      <c r="E141" s="270"/>
      <c r="J141" s="324"/>
      <c r="M141" s="267"/>
    </row>
    <row r="142" spans="1:13" ht="21.75">
      <c r="A142" s="272" t="s">
        <v>274</v>
      </c>
      <c r="B142" s="269"/>
      <c r="C142" s="275"/>
      <c r="D142" s="276"/>
      <c r="E142" s="270"/>
      <c r="M142" s="267"/>
    </row>
    <row r="143" spans="1:13" ht="22.5" thickBot="1">
      <c r="A143" s="272"/>
      <c r="B143" s="269"/>
      <c r="C143" s="302"/>
      <c r="D143" s="302"/>
      <c r="E143" s="270"/>
      <c r="M143" s="267" t="s">
        <v>266</v>
      </c>
    </row>
    <row r="144" spans="1:8" ht="22.5" thickBot="1">
      <c r="A144" s="278" t="s">
        <v>50</v>
      </c>
      <c r="B144" s="269"/>
      <c r="C144" s="325"/>
      <c r="D144" s="304">
        <f>SUM(D139:D143)</f>
        <v>0</v>
      </c>
      <c r="E144" s="281">
        <f>SUM(E139:E143)</f>
        <v>0</v>
      </c>
      <c r="H144" s="274"/>
    </row>
    <row r="145" spans="1:15" ht="22.5" thickBot="1">
      <c r="A145" s="264" t="s">
        <v>240</v>
      </c>
      <c r="B145" s="326"/>
      <c r="C145" s="327">
        <f>C15+C54+C60+C80+C83+C101+C136+C144</f>
        <v>41193000</v>
      </c>
      <c r="D145" s="327">
        <f>D15+D54+D60+D65+D80+D83+D101+D136+D144</f>
        <v>9085005.86</v>
      </c>
      <c r="E145" s="327">
        <f>E15+E54+E60+E65+E80+E83+E101+E136+E144</f>
        <v>9085249.86</v>
      </c>
      <c r="H145" s="274">
        <f>27727199.58-E145</f>
        <v>18641949.72</v>
      </c>
      <c r="I145" s="258"/>
      <c r="J145" s="258"/>
      <c r="K145" s="258"/>
      <c r="L145" s="258"/>
      <c r="M145" s="258"/>
      <c r="N145" s="258"/>
      <c r="O145" s="258"/>
    </row>
    <row r="146" spans="1:15" ht="21.75">
      <c r="A146" s="328"/>
      <c r="B146" s="328"/>
      <c r="C146" s="328"/>
      <c r="D146" s="328"/>
      <c r="E146" s="328"/>
      <c r="H146" s="274">
        <f>35001.75-D145</f>
        <v>-9050004.11</v>
      </c>
      <c r="I146" s="258"/>
      <c r="J146" s="258"/>
      <c r="K146" s="258"/>
      <c r="L146" s="258"/>
      <c r="M146" s="258"/>
      <c r="N146" s="258"/>
      <c r="O146" s="258"/>
    </row>
    <row r="147" spans="1:15" ht="21.75">
      <c r="A147" s="328"/>
      <c r="B147" s="328"/>
      <c r="C147" s="328"/>
      <c r="D147" s="329"/>
      <c r="E147" s="329"/>
      <c r="H147" s="257">
        <f>34033.74+74.92+163.76+196.69+126+89+200+53.4+50+14.24</f>
        <v>35001.75</v>
      </c>
      <c r="I147" s="258"/>
      <c r="J147" s="258"/>
      <c r="K147" s="258"/>
      <c r="L147" s="258"/>
      <c r="M147" s="258"/>
      <c r="N147" s="258"/>
      <c r="O147" s="258"/>
    </row>
    <row r="148" spans="1:15" ht="21.75">
      <c r="A148" s="328"/>
      <c r="B148" s="328"/>
      <c r="C148" s="328"/>
      <c r="D148" s="328"/>
      <c r="E148" s="328"/>
      <c r="I148" s="258"/>
      <c r="J148" s="258"/>
      <c r="K148" s="258"/>
      <c r="L148" s="258"/>
      <c r="M148" s="258"/>
      <c r="N148" s="258"/>
      <c r="O148" s="258"/>
    </row>
    <row r="149" spans="1:15" ht="21.75">
      <c r="A149" s="328"/>
      <c r="B149" s="328"/>
      <c r="C149" s="328"/>
      <c r="D149" s="328"/>
      <c r="E149" s="328"/>
      <c r="H149" s="274">
        <f>E145-E144-E136</f>
        <v>1977497.8599999994</v>
      </c>
      <c r="I149" s="258"/>
      <c r="J149" s="258"/>
      <c r="K149" s="258"/>
      <c r="L149" s="258"/>
      <c r="M149" s="258"/>
      <c r="N149" s="258"/>
      <c r="O149" s="258"/>
    </row>
    <row r="150" spans="1:15" ht="21.75">
      <c r="A150" s="328"/>
      <c r="B150" s="328"/>
      <c r="C150" s="328"/>
      <c r="D150" s="328"/>
      <c r="E150" s="328"/>
      <c r="H150" s="274">
        <f>6831367.31-D145</f>
        <v>-2253638.55</v>
      </c>
      <c r="I150" s="258"/>
      <c r="J150" s="258"/>
      <c r="K150" s="258"/>
      <c r="L150" s="258"/>
      <c r="M150" s="258"/>
      <c r="N150" s="258"/>
      <c r="O150" s="258"/>
    </row>
    <row r="151" spans="1:15" ht="21.75">
      <c r="A151" s="328"/>
      <c r="B151" s="328"/>
      <c r="C151" s="328"/>
      <c r="D151" s="328"/>
      <c r="E151" s="328"/>
      <c r="I151" s="258"/>
      <c r="J151" s="258"/>
      <c r="K151" s="258"/>
      <c r="L151" s="258"/>
      <c r="M151" s="258"/>
      <c r="N151" s="258"/>
      <c r="O151" s="258"/>
    </row>
    <row r="152" spans="1:15" ht="21.75">
      <c r="A152" s="328"/>
      <c r="B152" s="328"/>
      <c r="C152" s="328"/>
      <c r="D152" s="328"/>
      <c r="E152" s="328"/>
      <c r="I152" s="258"/>
      <c r="J152" s="258"/>
      <c r="K152" s="258"/>
      <c r="L152" s="258"/>
      <c r="M152" s="258"/>
      <c r="N152" s="258"/>
      <c r="O152" s="258"/>
    </row>
    <row r="153" spans="1:15" ht="21.75">
      <c r="A153" s="289"/>
      <c r="B153" s="328"/>
      <c r="C153" s="328"/>
      <c r="D153" s="328"/>
      <c r="E153" s="328"/>
      <c r="I153" s="258"/>
      <c r="J153" s="258"/>
      <c r="K153" s="258"/>
      <c r="L153" s="258"/>
      <c r="M153" s="258"/>
      <c r="N153" s="258"/>
      <c r="O153" s="258"/>
    </row>
    <row r="154" spans="1:5" ht="21.75">
      <c r="A154" s="328"/>
      <c r="B154" s="328"/>
      <c r="C154" s="328"/>
      <c r="D154" s="328"/>
      <c r="E154" s="328"/>
    </row>
    <row r="155" spans="1:5" ht="21.75">
      <c r="A155" s="328"/>
      <c r="B155" s="328"/>
      <c r="C155" s="328"/>
      <c r="D155" s="328"/>
      <c r="E155" s="328"/>
    </row>
    <row r="156" spans="1:5" ht="21.75">
      <c r="A156" s="328"/>
      <c r="B156" s="328"/>
      <c r="C156" s="328"/>
      <c r="D156" s="328"/>
      <c r="E156" s="328"/>
    </row>
    <row r="157" spans="1:5" ht="21.75">
      <c r="A157" s="328"/>
      <c r="B157" s="328"/>
      <c r="C157" s="328"/>
      <c r="D157" s="328"/>
      <c r="E157" s="328"/>
    </row>
    <row r="158" spans="1:5" ht="21.75">
      <c r="A158" s="328"/>
      <c r="B158" s="328"/>
      <c r="C158" s="328"/>
      <c r="D158" s="328"/>
      <c r="E158" s="328"/>
    </row>
    <row r="159" spans="1:5" ht="21.75">
      <c r="A159" s="328"/>
      <c r="B159" s="328"/>
      <c r="C159" s="328"/>
      <c r="D159" s="328"/>
      <c r="E159" s="328"/>
    </row>
    <row r="160" spans="1:5" ht="21.75">
      <c r="A160" s="328"/>
      <c r="B160" s="328"/>
      <c r="C160" s="328"/>
      <c r="D160" s="328"/>
      <c r="E160" s="328"/>
    </row>
    <row r="161" spans="1:5" ht="21.75">
      <c r="A161" s="328"/>
      <c r="B161" s="328"/>
      <c r="C161" s="328"/>
      <c r="D161" s="328"/>
      <c r="E161" s="328"/>
    </row>
    <row r="162" spans="1:5" ht="21.75">
      <c r="A162" s="328"/>
      <c r="B162" s="328"/>
      <c r="C162" s="328"/>
      <c r="D162" s="328"/>
      <c r="E162" s="328"/>
    </row>
    <row r="163" spans="1:5" ht="21.75">
      <c r="A163" s="328"/>
      <c r="B163" s="328"/>
      <c r="C163" s="328"/>
      <c r="D163" s="328"/>
      <c r="E163" s="328"/>
    </row>
    <row r="164" spans="1:5" ht="21.75">
      <c r="A164" s="328"/>
      <c r="B164" s="328"/>
      <c r="C164" s="328"/>
      <c r="D164" s="328"/>
      <c r="E164" s="328"/>
    </row>
    <row r="165" spans="1:5" ht="21.75">
      <c r="A165" s="328"/>
      <c r="B165" s="328"/>
      <c r="C165" s="328"/>
      <c r="D165" s="328"/>
      <c r="E165" s="328"/>
    </row>
    <row r="166" spans="1:5" ht="21.75">
      <c r="A166" s="328"/>
      <c r="B166" s="328"/>
      <c r="C166" s="328"/>
      <c r="D166" s="328"/>
      <c r="E166" s="328"/>
    </row>
    <row r="167" spans="1:5" ht="21.75">
      <c r="A167" s="328"/>
      <c r="B167" s="328"/>
      <c r="C167" s="328"/>
      <c r="D167" s="328"/>
      <c r="E167" s="328"/>
    </row>
    <row r="168" spans="1:5" ht="21.75">
      <c r="A168" s="328"/>
      <c r="B168" s="328"/>
      <c r="C168" s="328"/>
      <c r="D168" s="328"/>
      <c r="E168" s="328"/>
    </row>
    <row r="169" spans="1:5" ht="21.75">
      <c r="A169" s="328"/>
      <c r="B169" s="328"/>
      <c r="C169" s="328"/>
      <c r="D169" s="328"/>
      <c r="E169" s="328"/>
    </row>
    <row r="170" spans="1:5" ht="21.75">
      <c r="A170" s="328"/>
      <c r="B170" s="328"/>
      <c r="C170" s="328"/>
      <c r="D170" s="328"/>
      <c r="E170" s="328"/>
    </row>
    <row r="171" spans="1:5" ht="21.75">
      <c r="A171" s="328"/>
      <c r="B171" s="328"/>
      <c r="C171" s="328"/>
      <c r="D171" s="328"/>
      <c r="E171" s="328"/>
    </row>
    <row r="172" spans="1:5" ht="21.75">
      <c r="A172" s="328"/>
      <c r="B172" s="328"/>
      <c r="C172" s="328"/>
      <c r="D172" s="328"/>
      <c r="E172" s="328"/>
    </row>
    <row r="173" spans="1:5" ht="21.75">
      <c r="A173" s="328"/>
      <c r="B173" s="328"/>
      <c r="C173" s="328"/>
      <c r="D173" s="328"/>
      <c r="E173" s="328"/>
    </row>
    <row r="174" spans="1:5" ht="21.75">
      <c r="A174" s="328"/>
      <c r="B174" s="328"/>
      <c r="C174" s="328"/>
      <c r="D174" s="328"/>
      <c r="E174" s="328"/>
    </row>
    <row r="175" spans="1:5" ht="21.75">
      <c r="A175" s="328"/>
      <c r="B175" s="328"/>
      <c r="C175" s="328"/>
      <c r="D175" s="328"/>
      <c r="E175" s="328"/>
    </row>
    <row r="176" spans="1:5" ht="21.75">
      <c r="A176" s="328"/>
      <c r="B176" s="328"/>
      <c r="C176" s="328"/>
      <c r="D176" s="328"/>
      <c r="E176" s="328"/>
    </row>
    <row r="177" spans="1:5" ht="21.75">
      <c r="A177" s="328"/>
      <c r="B177" s="328"/>
      <c r="C177" s="328"/>
      <c r="D177" s="328"/>
      <c r="E177" s="328"/>
    </row>
    <row r="178" spans="1:5" ht="21.75">
      <c r="A178" s="328"/>
      <c r="B178" s="328"/>
      <c r="C178" s="328"/>
      <c r="D178" s="328"/>
      <c r="E178" s="328"/>
    </row>
    <row r="179" spans="1:5" ht="22.5">
      <c r="A179" s="330"/>
      <c r="B179" s="330"/>
      <c r="C179" s="330"/>
      <c r="D179" s="330"/>
      <c r="E179" s="330"/>
    </row>
    <row r="180" spans="1:5" ht="22.5">
      <c r="A180" s="330"/>
      <c r="B180" s="330"/>
      <c r="C180" s="330"/>
      <c r="D180" s="330"/>
      <c r="E180" s="330"/>
    </row>
    <row r="181" spans="1:5" ht="22.5">
      <c r="A181" s="330"/>
      <c r="B181" s="330"/>
      <c r="C181" s="330"/>
      <c r="D181" s="330"/>
      <c r="E181" s="330"/>
    </row>
    <row r="182" spans="1:5" ht="22.5">
      <c r="A182" s="330"/>
      <c r="B182" s="330"/>
      <c r="C182" s="330"/>
      <c r="D182" s="330"/>
      <c r="E182" s="330"/>
    </row>
  </sheetData>
  <sheetProtection/>
  <mergeCells count="3">
    <mergeCell ref="A1:E1"/>
    <mergeCell ref="A2:E2"/>
    <mergeCell ref="A3:E3"/>
  </mergeCells>
  <printOptions/>
  <pageMargins left="0.5905511811023623" right="0" top="0.3937007874015748" bottom="0.3937007874015748" header="0.15748031496062992" footer="0.3937007874015748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6">
      <selection activeCell="E11" sqref="E11"/>
    </sheetView>
  </sheetViews>
  <sheetFormatPr defaultColWidth="9.140625" defaultRowHeight="21.75"/>
  <cols>
    <col min="1" max="1" width="52.57421875" style="5" customWidth="1"/>
    <col min="2" max="2" width="21.28125" style="5" customWidth="1"/>
    <col min="3" max="3" width="20.57421875" style="5" customWidth="1"/>
    <col min="4" max="4" width="21.28125" style="5" customWidth="1"/>
    <col min="5" max="5" width="6.421875" style="5" customWidth="1"/>
    <col min="6" max="6" width="17.7109375" style="5" customWidth="1"/>
    <col min="7" max="7" width="6.28125" style="5" customWidth="1"/>
    <col min="8" max="16384" width="9.140625" style="5" customWidth="1"/>
  </cols>
  <sheetData>
    <row r="1" spans="1:3" ht="23.25">
      <c r="A1" s="27" t="s">
        <v>25</v>
      </c>
      <c r="B1" s="27" t="s">
        <v>4</v>
      </c>
      <c r="C1" s="27" t="s">
        <v>81</v>
      </c>
    </row>
    <row r="2" spans="1:3" ht="23.25">
      <c r="A2" s="28" t="s">
        <v>26</v>
      </c>
      <c r="B2" s="29"/>
      <c r="C2" s="29"/>
    </row>
    <row r="3" spans="1:3" ht="23.25">
      <c r="A3" s="28" t="s">
        <v>27</v>
      </c>
      <c r="B3" s="29"/>
      <c r="C3" s="29"/>
    </row>
    <row r="4" spans="1:3" ht="23.25">
      <c r="A4" s="28" t="s">
        <v>28</v>
      </c>
      <c r="B4" s="29"/>
      <c r="C4" s="29"/>
    </row>
    <row r="5" spans="1:3" ht="23.25">
      <c r="A5" s="28" t="s">
        <v>29</v>
      </c>
      <c r="B5" s="29"/>
      <c r="C5" s="29"/>
    </row>
    <row r="6" spans="1:3" ht="23.25">
      <c r="A6" s="28" t="s">
        <v>30</v>
      </c>
      <c r="B6" s="29"/>
      <c r="C6" s="29"/>
    </row>
    <row r="7" spans="1:3" ht="23.25">
      <c r="A7" s="28" t="s">
        <v>31</v>
      </c>
      <c r="B7" s="29"/>
      <c r="C7" s="29"/>
    </row>
    <row r="8" spans="1:3" ht="23.25">
      <c r="A8" s="28" t="s">
        <v>32</v>
      </c>
      <c r="B8" s="29"/>
      <c r="C8" s="29"/>
    </row>
    <row r="9" spans="1:3" ht="23.25">
      <c r="A9" s="28" t="s">
        <v>33</v>
      </c>
      <c r="B9" s="29"/>
      <c r="C9" s="29"/>
    </row>
    <row r="10" spans="1:3" ht="23.25">
      <c r="A10" s="28" t="s">
        <v>14</v>
      </c>
      <c r="B10" s="29"/>
      <c r="C10" s="29"/>
    </row>
    <row r="11" spans="1:3" ht="23.25">
      <c r="A11" s="28" t="s">
        <v>113</v>
      </c>
      <c r="B11" s="29"/>
      <c r="C11" s="29"/>
    </row>
    <row r="12" spans="1:3" ht="23.25">
      <c r="A12" s="28" t="s">
        <v>34</v>
      </c>
      <c r="B12" s="29"/>
      <c r="C12" s="29"/>
    </row>
    <row r="13" spans="1:3" ht="23.25">
      <c r="A13" s="28" t="s">
        <v>35</v>
      </c>
      <c r="B13" s="29"/>
      <c r="C13" s="29"/>
    </row>
    <row r="14" spans="1:3" ht="23.25">
      <c r="A14" s="28" t="s">
        <v>70</v>
      </c>
      <c r="B14" s="29"/>
      <c r="C14" s="29"/>
    </row>
    <row r="15" spans="1:3" ht="23.25">
      <c r="A15" s="28" t="s">
        <v>114</v>
      </c>
      <c r="B15" s="29"/>
      <c r="C15" s="29"/>
    </row>
    <row r="18" ht="23.25">
      <c r="A18" s="5" t="s">
        <v>115</v>
      </c>
    </row>
  </sheetData>
  <sheetProtection/>
  <printOptions/>
  <pageMargins left="0.7480314960629921" right="0.3543307086614173" top="0.5905511811023622" bottom="0.590551181102362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8"/>
  <sheetViews>
    <sheetView zoomScalePageLayoutView="0" workbookViewId="0" topLeftCell="A123">
      <selection activeCell="A94" sqref="A94:I130"/>
    </sheetView>
  </sheetViews>
  <sheetFormatPr defaultColWidth="9.140625" defaultRowHeight="21.75"/>
  <cols>
    <col min="1" max="1" width="3.00390625" style="332" customWidth="1"/>
    <col min="2" max="2" width="10.421875" style="332" customWidth="1"/>
    <col min="3" max="5" width="9.140625" style="332" customWidth="1"/>
    <col min="6" max="6" width="12.28125" style="332" customWidth="1"/>
    <col min="7" max="7" width="15.7109375" style="332" customWidth="1"/>
    <col min="8" max="8" width="11.28125" style="332" bestFit="1" customWidth="1"/>
    <col min="9" max="9" width="20.00390625" style="332" customWidth="1"/>
    <col min="10" max="10" width="9.140625" style="332" customWidth="1"/>
    <col min="11" max="11" width="20.57421875" style="332" customWidth="1"/>
    <col min="12" max="12" width="9.140625" style="332" customWidth="1"/>
    <col min="13" max="13" width="18.140625" style="332" customWidth="1"/>
    <col min="14" max="16384" width="9.140625" style="332" customWidth="1"/>
  </cols>
  <sheetData>
    <row r="1" spans="1:9" ht="24">
      <c r="A1" s="331"/>
      <c r="B1" s="331"/>
      <c r="C1" s="331"/>
      <c r="D1" s="331"/>
      <c r="E1" s="331"/>
      <c r="F1" s="331"/>
      <c r="G1" s="331"/>
      <c r="H1" s="331"/>
      <c r="I1" s="331"/>
    </row>
    <row r="2" spans="1:9" ht="24" customHeight="1">
      <c r="A2" s="331"/>
      <c r="B2" s="501" t="s">
        <v>110</v>
      </c>
      <c r="C2" s="502"/>
      <c r="D2" s="502"/>
      <c r="E2" s="503"/>
      <c r="F2" s="501" t="s">
        <v>131</v>
      </c>
      <c r="G2" s="502"/>
      <c r="H2" s="502"/>
      <c r="I2" s="503"/>
    </row>
    <row r="3" spans="1:9" ht="15" customHeight="1">
      <c r="A3" s="331"/>
      <c r="B3" s="336"/>
      <c r="C3" s="337"/>
      <c r="D3" s="337"/>
      <c r="E3" s="338"/>
      <c r="F3" s="337"/>
      <c r="G3" s="337"/>
      <c r="H3" s="337"/>
      <c r="I3" s="339"/>
    </row>
    <row r="4" spans="1:9" ht="26.25" customHeight="1">
      <c r="A4" s="331"/>
      <c r="B4" s="336"/>
      <c r="C4" s="337"/>
      <c r="D4" s="337"/>
      <c r="E4" s="338"/>
      <c r="F4" s="337" t="s">
        <v>62</v>
      </c>
      <c r="G4" s="337" t="s">
        <v>127</v>
      </c>
      <c r="H4" s="337"/>
      <c r="I4" s="339"/>
    </row>
    <row r="5" spans="1:9" ht="20.25" customHeight="1">
      <c r="A5" s="331"/>
      <c r="B5" s="488" t="s">
        <v>61</v>
      </c>
      <c r="C5" s="489"/>
      <c r="D5" s="489"/>
      <c r="E5" s="490"/>
      <c r="F5" s="337"/>
      <c r="G5" s="337"/>
      <c r="H5" s="337"/>
      <c r="I5" s="339"/>
    </row>
    <row r="6" spans="1:9" ht="11.25" customHeight="1">
      <c r="A6" s="331"/>
      <c r="B6" s="340"/>
      <c r="C6" s="341"/>
      <c r="D6" s="341"/>
      <c r="E6" s="342"/>
      <c r="F6" s="341"/>
      <c r="G6" s="341"/>
      <c r="H6" s="341"/>
      <c r="I6" s="342"/>
    </row>
    <row r="7" spans="1:9" ht="24">
      <c r="A7" s="331"/>
      <c r="B7" s="336" t="s">
        <v>425</v>
      </c>
      <c r="C7" s="343"/>
      <c r="D7" s="343"/>
      <c r="E7" s="343"/>
      <c r="F7" s="343"/>
      <c r="G7" s="339"/>
      <c r="H7" s="536">
        <v>6635.22</v>
      </c>
      <c r="I7" s="537"/>
    </row>
    <row r="8" spans="1:9" ht="24">
      <c r="A8" s="331"/>
      <c r="B8" s="336" t="s">
        <v>426</v>
      </c>
      <c r="C8" s="343"/>
      <c r="D8" s="343"/>
      <c r="E8" s="343"/>
      <c r="F8" s="343"/>
      <c r="G8" s="339"/>
      <c r="H8" s="504"/>
      <c r="I8" s="505"/>
    </row>
    <row r="9" spans="1:9" ht="24">
      <c r="A9" s="331"/>
      <c r="B9" s="498" t="s">
        <v>107</v>
      </c>
      <c r="C9" s="498"/>
      <c r="D9" s="498" t="s">
        <v>108</v>
      </c>
      <c r="E9" s="498"/>
      <c r="F9" s="498" t="s">
        <v>65</v>
      </c>
      <c r="G9" s="498"/>
      <c r="H9" s="533"/>
      <c r="I9" s="534"/>
    </row>
    <row r="10" spans="1:9" ht="24">
      <c r="A10" s="331"/>
      <c r="B10" s="497"/>
      <c r="C10" s="496"/>
      <c r="D10" s="496"/>
      <c r="E10" s="496"/>
      <c r="F10" s="495"/>
      <c r="G10" s="495"/>
      <c r="H10" s="538"/>
      <c r="I10" s="528"/>
    </row>
    <row r="11" spans="1:9" ht="24">
      <c r="A11" s="331"/>
      <c r="B11" s="496"/>
      <c r="C11" s="496"/>
      <c r="D11" s="497"/>
      <c r="E11" s="496"/>
      <c r="F11" s="495"/>
      <c r="G11" s="495"/>
      <c r="H11" s="538"/>
      <c r="I11" s="528"/>
    </row>
    <row r="12" spans="1:9" ht="24">
      <c r="A12" s="331"/>
      <c r="B12" s="496"/>
      <c r="C12" s="496"/>
      <c r="D12" s="497"/>
      <c r="E12" s="497"/>
      <c r="F12" s="495">
        <f>SUM(F10:F11)</f>
        <v>0</v>
      </c>
      <c r="G12" s="495"/>
      <c r="H12" s="538">
        <f>F12</f>
        <v>0</v>
      </c>
      <c r="I12" s="528"/>
    </row>
    <row r="13" spans="1:9" ht="24">
      <c r="A13" s="331"/>
      <c r="B13" s="336" t="s">
        <v>427</v>
      </c>
      <c r="C13" s="343" t="s">
        <v>126</v>
      </c>
      <c r="D13" s="343"/>
      <c r="E13" s="343"/>
      <c r="F13" s="343"/>
      <c r="G13" s="339"/>
      <c r="H13" s="528"/>
      <c r="I13" s="528"/>
    </row>
    <row r="14" spans="1:9" ht="24">
      <c r="A14" s="331"/>
      <c r="B14" s="498" t="s">
        <v>63</v>
      </c>
      <c r="C14" s="498"/>
      <c r="D14" s="498" t="s">
        <v>64</v>
      </c>
      <c r="E14" s="498"/>
      <c r="F14" s="498" t="s">
        <v>65</v>
      </c>
      <c r="G14" s="498"/>
      <c r="H14" s="496"/>
      <c r="I14" s="496"/>
    </row>
    <row r="15" spans="1:9" ht="24">
      <c r="A15" s="331"/>
      <c r="B15" s="344"/>
      <c r="C15" s="345"/>
      <c r="D15" s="346"/>
      <c r="E15" s="345"/>
      <c r="F15" s="473"/>
      <c r="G15" s="474"/>
      <c r="H15" s="475"/>
      <c r="I15" s="476"/>
    </row>
    <row r="16" spans="1:9" ht="24">
      <c r="A16" s="331"/>
      <c r="B16" s="477"/>
      <c r="C16" s="472"/>
      <c r="D16" s="471"/>
      <c r="E16" s="472"/>
      <c r="F16" s="473"/>
      <c r="G16" s="474"/>
      <c r="H16" s="475"/>
      <c r="I16" s="476"/>
    </row>
    <row r="17" spans="1:9" ht="24">
      <c r="A17" s="331"/>
      <c r="B17" s="471"/>
      <c r="C17" s="472"/>
      <c r="D17" s="471"/>
      <c r="E17" s="472"/>
      <c r="F17" s="473"/>
      <c r="G17" s="474"/>
      <c r="H17" s="475"/>
      <c r="I17" s="476"/>
    </row>
    <row r="18" spans="1:9" ht="24">
      <c r="A18" s="331"/>
      <c r="B18" s="471"/>
      <c r="C18" s="472"/>
      <c r="D18" s="471"/>
      <c r="E18" s="472"/>
      <c r="F18" s="473"/>
      <c r="G18" s="474"/>
      <c r="H18" s="475"/>
      <c r="I18" s="476"/>
    </row>
    <row r="19" spans="1:9" ht="24">
      <c r="A19" s="331"/>
      <c r="B19" s="471"/>
      <c r="C19" s="472"/>
      <c r="D19" s="471"/>
      <c r="E19" s="472"/>
      <c r="F19" s="473"/>
      <c r="G19" s="474"/>
      <c r="H19" s="475"/>
      <c r="I19" s="476"/>
    </row>
    <row r="20" spans="1:9" ht="24">
      <c r="A20" s="331"/>
      <c r="B20" s="496"/>
      <c r="C20" s="496"/>
      <c r="D20" s="497"/>
      <c r="E20" s="497"/>
      <c r="F20" s="539">
        <f>SUM(F15:F19)</f>
        <v>0</v>
      </c>
      <c r="G20" s="539"/>
      <c r="H20" s="531">
        <f>F20</f>
        <v>0</v>
      </c>
      <c r="I20" s="532"/>
    </row>
    <row r="21" spans="1:9" ht="24">
      <c r="A21" s="331"/>
      <c r="B21" s="349"/>
      <c r="C21" s="343"/>
      <c r="D21" s="343"/>
      <c r="E21" s="343"/>
      <c r="F21" s="350"/>
      <c r="G21" s="339"/>
      <c r="H21" s="533"/>
      <c r="I21" s="534"/>
    </row>
    <row r="22" spans="1:9" ht="24" customHeight="1">
      <c r="A22" s="331"/>
      <c r="B22" s="349"/>
      <c r="C22" s="343"/>
      <c r="D22" s="343"/>
      <c r="E22" s="343"/>
      <c r="F22" s="351"/>
      <c r="G22" s="339"/>
      <c r="H22" s="540"/>
      <c r="I22" s="541"/>
    </row>
    <row r="23" spans="1:9" ht="24">
      <c r="A23" s="331"/>
      <c r="B23" s="336" t="s">
        <v>428</v>
      </c>
      <c r="C23" s="343"/>
      <c r="D23" s="343"/>
      <c r="E23" s="343"/>
      <c r="F23" s="343"/>
      <c r="G23" s="339"/>
      <c r="H23" s="482"/>
      <c r="I23" s="483"/>
    </row>
    <row r="24" spans="1:9" ht="24">
      <c r="A24" s="331"/>
      <c r="B24" s="336" t="s">
        <v>429</v>
      </c>
      <c r="C24" s="343"/>
      <c r="D24" s="343"/>
      <c r="E24" s="343"/>
      <c r="F24" s="343"/>
      <c r="G24" s="339"/>
      <c r="H24" s="482"/>
      <c r="I24" s="483"/>
    </row>
    <row r="25" spans="1:9" ht="24" customHeight="1">
      <c r="A25" s="331"/>
      <c r="B25" s="352"/>
      <c r="C25" s="343"/>
      <c r="D25" s="343"/>
      <c r="E25" s="343"/>
      <c r="F25" s="343"/>
      <c r="G25" s="339"/>
      <c r="H25" s="535"/>
      <c r="I25" s="483"/>
    </row>
    <row r="26" spans="1:9" ht="24">
      <c r="A26" s="331"/>
      <c r="B26" s="336" t="s">
        <v>430</v>
      </c>
      <c r="C26" s="343"/>
      <c r="D26" s="343"/>
      <c r="E26" s="343"/>
      <c r="F26" s="343"/>
      <c r="G26" s="339"/>
      <c r="H26" s="486">
        <f>H7+H12-H20</f>
        <v>6635.22</v>
      </c>
      <c r="I26" s="487"/>
    </row>
    <row r="27" spans="1:11" ht="33.75" customHeight="1">
      <c r="A27" s="331"/>
      <c r="B27" s="340"/>
      <c r="C27" s="341"/>
      <c r="D27" s="341"/>
      <c r="E27" s="341"/>
      <c r="F27" s="343"/>
      <c r="G27" s="342"/>
      <c r="H27" s="484"/>
      <c r="I27" s="485"/>
      <c r="K27" s="354"/>
    </row>
    <row r="28" spans="1:9" ht="24">
      <c r="A28" s="331"/>
      <c r="B28" s="336" t="s">
        <v>66</v>
      </c>
      <c r="C28" s="337"/>
      <c r="D28" s="337"/>
      <c r="E28" s="355"/>
      <c r="F28" s="355"/>
      <c r="G28" s="337" t="s">
        <v>67</v>
      </c>
      <c r="H28" s="337"/>
      <c r="I28" s="356"/>
    </row>
    <row r="29" spans="1:9" ht="24">
      <c r="A29" s="331"/>
      <c r="B29" s="336"/>
      <c r="C29" s="337"/>
      <c r="D29" s="337"/>
      <c r="E29" s="337"/>
      <c r="F29" s="337"/>
      <c r="G29" s="337"/>
      <c r="H29" s="337"/>
      <c r="I29" s="338"/>
    </row>
    <row r="30" spans="1:9" ht="24">
      <c r="A30" s="331"/>
      <c r="B30" s="336" t="s">
        <v>68</v>
      </c>
      <c r="C30" s="337"/>
      <c r="D30" s="337"/>
      <c r="E30" s="337"/>
      <c r="F30" s="337"/>
      <c r="G30" s="337" t="s">
        <v>68</v>
      </c>
      <c r="H30" s="337"/>
      <c r="I30" s="338"/>
    </row>
    <row r="31" spans="1:9" ht="24">
      <c r="A31" s="331"/>
      <c r="B31" s="357" t="s">
        <v>129</v>
      </c>
      <c r="C31" s="358"/>
      <c r="D31" s="358"/>
      <c r="E31" s="358"/>
      <c r="F31" s="337"/>
      <c r="G31" s="337" t="s">
        <v>153</v>
      </c>
      <c r="H31" s="337"/>
      <c r="I31" s="338"/>
    </row>
    <row r="32" spans="1:9" ht="24">
      <c r="A32" s="331"/>
      <c r="B32" s="357" t="s">
        <v>151</v>
      </c>
      <c r="C32" s="358"/>
      <c r="D32" s="358"/>
      <c r="E32" s="358"/>
      <c r="F32" s="343"/>
      <c r="G32" s="337" t="s">
        <v>152</v>
      </c>
      <c r="H32" s="337"/>
      <c r="I32" s="338"/>
    </row>
    <row r="33" spans="1:9" ht="24">
      <c r="A33" s="331"/>
      <c r="B33" s="340" t="s">
        <v>279</v>
      </c>
      <c r="C33" s="341"/>
      <c r="D33" s="341"/>
      <c r="E33" s="341"/>
      <c r="F33" s="341"/>
      <c r="G33" s="341" t="s">
        <v>280</v>
      </c>
      <c r="H33" s="341"/>
      <c r="I33" s="342"/>
    </row>
    <row r="34" spans="1:9" ht="24">
      <c r="A34" s="331"/>
      <c r="B34" s="352"/>
      <c r="C34" s="343"/>
      <c r="D34" s="343"/>
      <c r="E34" s="343"/>
      <c r="F34" s="343"/>
      <c r="G34" s="343"/>
      <c r="H34" s="343"/>
      <c r="I34" s="339"/>
    </row>
    <row r="35" spans="1:9" ht="24">
      <c r="A35" s="331"/>
      <c r="B35" s="501" t="s">
        <v>110</v>
      </c>
      <c r="C35" s="502"/>
      <c r="D35" s="502"/>
      <c r="E35" s="503"/>
      <c r="F35" s="501" t="s">
        <v>124</v>
      </c>
      <c r="G35" s="502"/>
      <c r="H35" s="502"/>
      <c r="I35" s="503"/>
    </row>
    <row r="36" spans="1:9" ht="24">
      <c r="A36" s="331"/>
      <c r="B36" s="336"/>
      <c r="C36" s="337"/>
      <c r="D36" s="337"/>
      <c r="E36" s="338"/>
      <c r="F36" s="337" t="s">
        <v>62</v>
      </c>
      <c r="G36" s="337" t="s">
        <v>138</v>
      </c>
      <c r="H36" s="337"/>
      <c r="I36" s="339"/>
    </row>
    <row r="37" spans="1:9" ht="24">
      <c r="A37" s="331"/>
      <c r="B37" s="488" t="s">
        <v>61</v>
      </c>
      <c r="C37" s="489"/>
      <c r="D37" s="489"/>
      <c r="E37" s="490"/>
      <c r="F37" s="359"/>
      <c r="G37" s="360"/>
      <c r="H37" s="360"/>
      <c r="I37" s="342"/>
    </row>
    <row r="38" spans="1:9" ht="24">
      <c r="A38" s="331"/>
      <c r="B38" s="336" t="s">
        <v>431</v>
      </c>
      <c r="C38" s="343"/>
      <c r="D38" s="343"/>
      <c r="E38" s="343"/>
      <c r="F38" s="343"/>
      <c r="G38" s="339"/>
      <c r="H38" s="542">
        <v>24693187.9</v>
      </c>
      <c r="I38" s="543"/>
    </row>
    <row r="39" spans="1:9" ht="24">
      <c r="A39" s="331"/>
      <c r="B39" s="336" t="s">
        <v>426</v>
      </c>
      <c r="C39" s="343"/>
      <c r="D39" s="343"/>
      <c r="E39" s="343"/>
      <c r="F39" s="343"/>
      <c r="G39" s="339"/>
      <c r="H39" s="504"/>
      <c r="I39" s="505"/>
    </row>
    <row r="40" spans="1:9" ht="24">
      <c r="A40" s="331"/>
      <c r="B40" s="498" t="s">
        <v>107</v>
      </c>
      <c r="C40" s="498"/>
      <c r="D40" s="498" t="s">
        <v>108</v>
      </c>
      <c r="E40" s="498"/>
      <c r="F40" s="498" t="s">
        <v>65</v>
      </c>
      <c r="G40" s="498"/>
      <c r="H40" s="533"/>
      <c r="I40" s="534"/>
    </row>
    <row r="41" spans="1:9" ht="24">
      <c r="A41" s="331"/>
      <c r="B41" s="471"/>
      <c r="C41" s="472"/>
      <c r="D41" s="471"/>
      <c r="E41" s="472"/>
      <c r="F41" s="529"/>
      <c r="G41" s="530"/>
      <c r="H41" s="533"/>
      <c r="I41" s="534"/>
    </row>
    <row r="42" spans="1:9" ht="24">
      <c r="A42" s="331"/>
      <c r="B42" s="348"/>
      <c r="C42" s="347"/>
      <c r="D42" s="471"/>
      <c r="E42" s="472"/>
      <c r="F42" s="473"/>
      <c r="G42" s="474"/>
      <c r="H42" s="544"/>
      <c r="I42" s="545"/>
    </row>
    <row r="43" spans="1:9" ht="24">
      <c r="A43" s="331"/>
      <c r="B43" s="497"/>
      <c r="C43" s="496"/>
      <c r="D43" s="496"/>
      <c r="E43" s="496"/>
      <c r="F43" s="526"/>
      <c r="G43" s="527"/>
      <c r="H43" s="538"/>
      <c r="I43" s="528"/>
    </row>
    <row r="44" spans="1:9" ht="24">
      <c r="A44" s="331"/>
      <c r="B44" s="336" t="s">
        <v>427</v>
      </c>
      <c r="C44" s="343" t="s">
        <v>125</v>
      </c>
      <c r="D44" s="343"/>
      <c r="E44" s="343"/>
      <c r="F44" s="343"/>
      <c r="G44" s="339"/>
      <c r="H44" s="528"/>
      <c r="I44" s="528"/>
    </row>
    <row r="45" spans="1:9" ht="24">
      <c r="A45" s="331"/>
      <c r="B45" s="498" t="s">
        <v>63</v>
      </c>
      <c r="C45" s="498"/>
      <c r="D45" s="498" t="s">
        <v>64</v>
      </c>
      <c r="E45" s="498"/>
      <c r="F45" s="498" t="s">
        <v>65</v>
      </c>
      <c r="G45" s="498"/>
      <c r="H45" s="496"/>
      <c r="I45" s="496"/>
    </row>
    <row r="46" spans="1:9" ht="24">
      <c r="A46" s="331"/>
      <c r="B46" s="477">
        <v>21940</v>
      </c>
      <c r="C46" s="478"/>
      <c r="D46" s="471">
        <v>19495818</v>
      </c>
      <c r="E46" s="472"/>
      <c r="F46" s="473">
        <v>7519.07</v>
      </c>
      <c r="G46" s="474"/>
      <c r="H46" s="471"/>
      <c r="I46" s="472"/>
    </row>
    <row r="47" spans="1:9" ht="24">
      <c r="A47" s="331"/>
      <c r="B47" s="477">
        <v>21940</v>
      </c>
      <c r="C47" s="478"/>
      <c r="D47" s="471">
        <v>19495819</v>
      </c>
      <c r="E47" s="472"/>
      <c r="F47" s="473">
        <v>18822.43</v>
      </c>
      <c r="G47" s="474"/>
      <c r="H47" s="471"/>
      <c r="I47" s="472"/>
    </row>
    <row r="48" spans="1:9" ht="24">
      <c r="A48" s="331"/>
      <c r="B48" s="477">
        <v>21940</v>
      </c>
      <c r="C48" s="478"/>
      <c r="D48" s="471">
        <v>19495820</v>
      </c>
      <c r="E48" s="472"/>
      <c r="F48" s="473">
        <v>7519.07</v>
      </c>
      <c r="G48" s="474"/>
      <c r="H48" s="471"/>
      <c r="I48" s="472"/>
    </row>
    <row r="49" spans="1:9" ht="24">
      <c r="A49" s="331"/>
      <c r="B49" s="477">
        <v>21945</v>
      </c>
      <c r="C49" s="478"/>
      <c r="D49" s="493">
        <v>19495826</v>
      </c>
      <c r="E49" s="494"/>
      <c r="F49" s="512">
        <v>18822.43</v>
      </c>
      <c r="G49" s="513"/>
      <c r="H49" s="523"/>
      <c r="I49" s="524"/>
    </row>
    <row r="50" spans="1:9" ht="24">
      <c r="A50" s="331"/>
      <c r="B50" s="477">
        <v>21945</v>
      </c>
      <c r="C50" s="478"/>
      <c r="D50" s="493">
        <v>19495831</v>
      </c>
      <c r="E50" s="494"/>
      <c r="F50" s="512">
        <v>4950</v>
      </c>
      <c r="G50" s="513"/>
      <c r="H50" s="523"/>
      <c r="I50" s="524"/>
    </row>
    <row r="51" spans="1:9" ht="24">
      <c r="A51" s="331"/>
      <c r="B51" s="477">
        <v>21945</v>
      </c>
      <c r="C51" s="478"/>
      <c r="D51" s="493">
        <v>19495832</v>
      </c>
      <c r="E51" s="494"/>
      <c r="F51" s="512">
        <v>12485.25</v>
      </c>
      <c r="G51" s="513"/>
      <c r="H51" s="523"/>
      <c r="I51" s="524"/>
    </row>
    <row r="52" spans="1:9" ht="24">
      <c r="A52" s="331"/>
      <c r="B52" s="477">
        <v>21945</v>
      </c>
      <c r="C52" s="478"/>
      <c r="D52" s="493">
        <v>19495833</v>
      </c>
      <c r="E52" s="494"/>
      <c r="F52" s="512">
        <v>6726.65</v>
      </c>
      <c r="G52" s="513"/>
      <c r="H52" s="523"/>
      <c r="I52" s="524"/>
    </row>
    <row r="53" spans="1:9" ht="24">
      <c r="A53" s="331"/>
      <c r="B53" s="477">
        <v>21945</v>
      </c>
      <c r="C53" s="478"/>
      <c r="D53" s="493">
        <v>19495837</v>
      </c>
      <c r="E53" s="494"/>
      <c r="F53" s="512">
        <v>12125.61</v>
      </c>
      <c r="G53" s="513"/>
      <c r="H53" s="523"/>
      <c r="I53" s="524"/>
    </row>
    <row r="54" spans="1:9" ht="24">
      <c r="A54" s="331"/>
      <c r="B54" s="477">
        <v>21945</v>
      </c>
      <c r="C54" s="478"/>
      <c r="D54" s="493">
        <v>19495828</v>
      </c>
      <c r="E54" s="494"/>
      <c r="F54" s="512">
        <v>3635.28</v>
      </c>
      <c r="G54" s="513"/>
      <c r="H54" s="523"/>
      <c r="I54" s="524"/>
    </row>
    <row r="55" spans="1:9" ht="24">
      <c r="A55" s="331"/>
      <c r="B55" s="477"/>
      <c r="C55" s="478"/>
      <c r="D55" s="493"/>
      <c r="E55" s="494"/>
      <c r="F55" s="512"/>
      <c r="G55" s="513"/>
      <c r="H55" s="523"/>
      <c r="I55" s="524"/>
    </row>
    <row r="56" spans="1:9" ht="24">
      <c r="A56" s="331"/>
      <c r="B56" s="477"/>
      <c r="C56" s="478"/>
      <c r="D56" s="493"/>
      <c r="E56" s="494"/>
      <c r="F56" s="512"/>
      <c r="G56" s="513"/>
      <c r="H56" s="523"/>
      <c r="I56" s="524"/>
    </row>
    <row r="57" spans="1:9" ht="24">
      <c r="A57" s="331"/>
      <c r="B57" s="477"/>
      <c r="C57" s="478"/>
      <c r="D57" s="493"/>
      <c r="E57" s="494"/>
      <c r="F57" s="512"/>
      <c r="G57" s="513"/>
      <c r="H57" s="523"/>
      <c r="I57" s="524"/>
    </row>
    <row r="58" spans="1:9" ht="24">
      <c r="A58" s="331"/>
      <c r="B58" s="477"/>
      <c r="C58" s="478"/>
      <c r="D58" s="493"/>
      <c r="E58" s="494"/>
      <c r="F58" s="512"/>
      <c r="G58" s="513"/>
      <c r="H58" s="523"/>
      <c r="I58" s="524"/>
    </row>
    <row r="59" spans="1:9" ht="24">
      <c r="A59" s="331"/>
      <c r="B59" s="471"/>
      <c r="C59" s="472"/>
      <c r="D59" s="493"/>
      <c r="E59" s="494"/>
      <c r="F59" s="512"/>
      <c r="G59" s="513"/>
      <c r="H59" s="523"/>
      <c r="I59" s="524"/>
    </row>
    <row r="60" spans="1:9" ht="24">
      <c r="A60" s="331"/>
      <c r="B60" s="498"/>
      <c r="C60" s="498"/>
      <c r="D60" s="525"/>
      <c r="E60" s="525"/>
      <c r="F60" s="539">
        <f>SUM(F46:F59)</f>
        <v>92605.79</v>
      </c>
      <c r="G60" s="539"/>
      <c r="H60" s="557"/>
      <c r="I60" s="498"/>
    </row>
    <row r="61" spans="1:9" ht="24">
      <c r="A61" s="331"/>
      <c r="B61" s="336" t="s">
        <v>428</v>
      </c>
      <c r="C61" s="343"/>
      <c r="D61" s="343"/>
      <c r="E61" s="343"/>
      <c r="F61" s="343"/>
      <c r="G61" s="339"/>
      <c r="H61" s="482"/>
      <c r="I61" s="483"/>
    </row>
    <row r="62" spans="1:9" ht="24">
      <c r="A62" s="331"/>
      <c r="B62" s="336" t="s">
        <v>429</v>
      </c>
      <c r="C62" s="343"/>
      <c r="D62" s="343"/>
      <c r="E62" s="343"/>
      <c r="F62" s="343"/>
      <c r="G62" s="339"/>
      <c r="H62" s="482"/>
      <c r="I62" s="483"/>
    </row>
    <row r="63" spans="1:9" ht="24">
      <c r="A63" s="331"/>
      <c r="B63" s="352"/>
      <c r="C63" s="343"/>
      <c r="D63" s="343"/>
      <c r="E63" s="343"/>
      <c r="F63" s="343"/>
      <c r="G63" s="339"/>
      <c r="H63" s="535"/>
      <c r="I63" s="483"/>
    </row>
    <row r="64" spans="1:11" ht="24">
      <c r="A64" s="331"/>
      <c r="B64" s="336" t="s">
        <v>432</v>
      </c>
      <c r="C64" s="343"/>
      <c r="D64" s="343"/>
      <c r="E64" s="343"/>
      <c r="F64" s="343"/>
      <c r="G64" s="339"/>
      <c r="H64" s="486">
        <f>H38+F43-F60</f>
        <v>24600582.11</v>
      </c>
      <c r="I64" s="487"/>
      <c r="K64" s="354">
        <f>26901416.83-H64</f>
        <v>2300834.719999999</v>
      </c>
    </row>
    <row r="65" spans="1:9" ht="24">
      <c r="A65" s="331"/>
      <c r="B65" s="340"/>
      <c r="C65" s="341"/>
      <c r="D65" s="341"/>
      <c r="E65" s="341"/>
      <c r="F65" s="343"/>
      <c r="G65" s="342"/>
      <c r="H65" s="484"/>
      <c r="I65" s="485"/>
    </row>
    <row r="66" spans="1:9" ht="24">
      <c r="A66" s="331"/>
      <c r="B66" s="336" t="s">
        <v>66</v>
      </c>
      <c r="C66" s="337"/>
      <c r="D66" s="337"/>
      <c r="E66" s="355"/>
      <c r="F66" s="355"/>
      <c r="G66" s="337" t="s">
        <v>67</v>
      </c>
      <c r="H66" s="337"/>
      <c r="I66" s="356"/>
    </row>
    <row r="67" spans="1:9" ht="24">
      <c r="A67" s="331"/>
      <c r="B67" s="336"/>
      <c r="C67" s="337"/>
      <c r="D67" s="337"/>
      <c r="E67" s="337"/>
      <c r="F67" s="337"/>
      <c r="G67" s="337"/>
      <c r="H67" s="337"/>
      <c r="I67" s="338"/>
    </row>
    <row r="68" spans="1:9" ht="24">
      <c r="A68" s="331"/>
      <c r="B68" s="336" t="s">
        <v>68</v>
      </c>
      <c r="C68" s="337"/>
      <c r="D68" s="337"/>
      <c r="E68" s="337"/>
      <c r="F68" s="337"/>
      <c r="G68" s="337" t="s">
        <v>68</v>
      </c>
      <c r="H68" s="337"/>
      <c r="I68" s="338"/>
    </row>
    <row r="69" spans="1:9" ht="24">
      <c r="A69" s="331"/>
      <c r="B69" s="357" t="s">
        <v>129</v>
      </c>
      <c r="C69" s="358"/>
      <c r="D69" s="358"/>
      <c r="E69" s="358"/>
      <c r="F69" s="337"/>
      <c r="G69" s="337" t="s">
        <v>148</v>
      </c>
      <c r="H69" s="337"/>
      <c r="I69" s="338"/>
    </row>
    <row r="70" spans="1:9" ht="24">
      <c r="A70" s="331"/>
      <c r="B70" s="357" t="s">
        <v>147</v>
      </c>
      <c r="C70" s="358"/>
      <c r="D70" s="358"/>
      <c r="E70" s="358"/>
      <c r="F70" s="343"/>
      <c r="G70" s="337" t="s">
        <v>141</v>
      </c>
      <c r="H70" s="337"/>
      <c r="I70" s="338"/>
    </row>
    <row r="71" spans="1:9" ht="24">
      <c r="A71" s="331"/>
      <c r="B71" s="340" t="s">
        <v>149</v>
      </c>
      <c r="C71" s="341"/>
      <c r="D71" s="341"/>
      <c r="E71" s="341"/>
      <c r="F71" s="341"/>
      <c r="G71" s="341" t="s">
        <v>150</v>
      </c>
      <c r="H71" s="341"/>
      <c r="I71" s="342"/>
    </row>
    <row r="72" spans="1:9" ht="24">
      <c r="A72" s="331"/>
      <c r="B72" s="343"/>
      <c r="C72" s="343"/>
      <c r="D72" s="343"/>
      <c r="E72" s="343"/>
      <c r="F72" s="343"/>
      <c r="G72" s="343"/>
      <c r="H72" s="343"/>
      <c r="I72" s="343"/>
    </row>
    <row r="73" spans="1:9" ht="24">
      <c r="A73" s="331"/>
      <c r="B73" s="343"/>
      <c r="C73" s="343"/>
      <c r="D73" s="343"/>
      <c r="E73" s="343"/>
      <c r="F73" s="343"/>
      <c r="G73" s="343"/>
      <c r="H73" s="343"/>
      <c r="I73" s="343"/>
    </row>
    <row r="74" spans="1:9" ht="24">
      <c r="A74" s="331"/>
      <c r="B74" s="343"/>
      <c r="C74" s="343"/>
      <c r="D74" s="343"/>
      <c r="E74" s="343"/>
      <c r="F74" s="343"/>
      <c r="G74" s="343"/>
      <c r="H74" s="343"/>
      <c r="I74" s="343"/>
    </row>
    <row r="75" spans="1:9" ht="24">
      <c r="A75" s="331"/>
      <c r="B75" s="343"/>
      <c r="C75" s="343"/>
      <c r="D75" s="343"/>
      <c r="E75" s="343"/>
      <c r="F75" s="343"/>
      <c r="G75" s="343"/>
      <c r="H75" s="343"/>
      <c r="I75" s="343"/>
    </row>
    <row r="76" spans="1:9" ht="24">
      <c r="A76" s="331"/>
      <c r="B76" s="343"/>
      <c r="C76" s="343"/>
      <c r="D76" s="343"/>
      <c r="E76" s="343"/>
      <c r="F76" s="343"/>
      <c r="G76" s="343"/>
      <c r="H76" s="343"/>
      <c r="I76" s="343"/>
    </row>
    <row r="77" spans="1:9" ht="24">
      <c r="A77" s="331"/>
      <c r="B77" s="343"/>
      <c r="C77" s="343"/>
      <c r="D77" s="343"/>
      <c r="E77" s="343"/>
      <c r="F77" s="343"/>
      <c r="G77" s="343"/>
      <c r="H77" s="343"/>
      <c r="I77" s="343"/>
    </row>
    <row r="78" spans="1:9" ht="24">
      <c r="A78" s="331"/>
      <c r="B78" s="343"/>
      <c r="C78" s="343"/>
      <c r="D78" s="343"/>
      <c r="E78" s="343"/>
      <c r="F78" s="343"/>
      <c r="G78" s="343"/>
      <c r="H78" s="343"/>
      <c r="I78" s="343"/>
    </row>
    <row r="79" spans="1:9" ht="24">
      <c r="A79" s="331"/>
      <c r="B79" s="343"/>
      <c r="C79" s="343"/>
      <c r="D79" s="343"/>
      <c r="E79" s="343"/>
      <c r="F79" s="343"/>
      <c r="G79" s="343"/>
      <c r="H79" s="343"/>
      <c r="I79" s="343"/>
    </row>
    <row r="80" spans="1:9" ht="24">
      <c r="A80" s="331"/>
      <c r="B80" s="343"/>
      <c r="C80" s="343"/>
      <c r="D80" s="343"/>
      <c r="E80" s="343"/>
      <c r="F80" s="343"/>
      <c r="G80" s="343"/>
      <c r="H80" s="343"/>
      <c r="I80" s="343"/>
    </row>
    <row r="81" spans="1:9" ht="24">
      <c r="A81" s="331"/>
      <c r="B81" s="343"/>
      <c r="C81" s="343"/>
      <c r="D81" s="343"/>
      <c r="E81" s="343"/>
      <c r="F81" s="343"/>
      <c r="G81" s="343"/>
      <c r="H81" s="343"/>
      <c r="I81" s="343"/>
    </row>
    <row r="82" spans="1:9" ht="24">
      <c r="A82" s="331"/>
      <c r="B82" s="343"/>
      <c r="C82" s="343"/>
      <c r="D82" s="343"/>
      <c r="E82" s="343"/>
      <c r="F82" s="343"/>
      <c r="G82" s="343"/>
      <c r="H82" s="343"/>
      <c r="I82" s="343"/>
    </row>
    <row r="83" spans="1:9" ht="24">
      <c r="A83" s="331"/>
      <c r="B83" s="343"/>
      <c r="C83" s="343"/>
      <c r="D83" s="343"/>
      <c r="E83" s="343"/>
      <c r="F83" s="343"/>
      <c r="G83" s="343"/>
      <c r="H83" s="343"/>
      <c r="I83" s="343"/>
    </row>
    <row r="84" spans="1:9" ht="24">
      <c r="A84" s="331"/>
      <c r="B84" s="343"/>
      <c r="C84" s="343"/>
      <c r="D84" s="343"/>
      <c r="E84" s="343"/>
      <c r="F84" s="343"/>
      <c r="G84" s="343"/>
      <c r="H84" s="343"/>
      <c r="I84" s="343"/>
    </row>
    <row r="85" spans="1:9" ht="24">
      <c r="A85" s="331"/>
      <c r="B85" s="343"/>
      <c r="C85" s="343"/>
      <c r="D85" s="343"/>
      <c r="E85" s="343"/>
      <c r="F85" s="343"/>
      <c r="G85" s="343"/>
      <c r="H85" s="343"/>
      <c r="I85" s="343"/>
    </row>
    <row r="86" spans="1:9" ht="24">
      <c r="A86" s="331"/>
      <c r="B86" s="343"/>
      <c r="C86" s="343"/>
      <c r="D86" s="343"/>
      <c r="E86" s="343"/>
      <c r="F86" s="343"/>
      <c r="G86" s="343"/>
      <c r="H86" s="343"/>
      <c r="I86" s="343"/>
    </row>
    <row r="87" spans="1:9" ht="24">
      <c r="A87" s="331"/>
      <c r="B87" s="343"/>
      <c r="C87" s="343"/>
      <c r="D87" s="343"/>
      <c r="E87" s="343"/>
      <c r="F87" s="343"/>
      <c r="G87" s="343"/>
      <c r="H87" s="343"/>
      <c r="I87" s="343"/>
    </row>
    <row r="88" spans="1:9" ht="24">
      <c r="A88" s="331"/>
      <c r="B88" s="343"/>
      <c r="C88" s="343"/>
      <c r="D88" s="343"/>
      <c r="E88" s="343"/>
      <c r="F88" s="343"/>
      <c r="G88" s="343"/>
      <c r="H88" s="343"/>
      <c r="I88" s="343"/>
    </row>
    <row r="89" spans="1:9" ht="24">
      <c r="A89" s="331"/>
      <c r="B89" s="343"/>
      <c r="C89" s="343"/>
      <c r="D89" s="343"/>
      <c r="E89" s="343"/>
      <c r="F89" s="343"/>
      <c r="G89" s="343"/>
      <c r="H89" s="343"/>
      <c r="I89" s="343"/>
    </row>
    <row r="90" spans="1:9" ht="24">
      <c r="A90" s="331"/>
      <c r="B90" s="343"/>
      <c r="C90" s="343"/>
      <c r="D90" s="343"/>
      <c r="E90" s="343"/>
      <c r="F90" s="343"/>
      <c r="G90" s="343"/>
      <c r="H90" s="343"/>
      <c r="I90" s="343"/>
    </row>
    <row r="91" spans="1:9" ht="24">
      <c r="A91" s="331"/>
      <c r="B91" s="343"/>
      <c r="C91" s="343"/>
      <c r="D91" s="343"/>
      <c r="E91" s="343"/>
      <c r="F91" s="343"/>
      <c r="G91" s="343"/>
      <c r="H91" s="343"/>
      <c r="I91" s="343"/>
    </row>
    <row r="92" spans="1:9" ht="24">
      <c r="A92" s="331"/>
      <c r="B92" s="343"/>
      <c r="C92" s="343"/>
      <c r="D92" s="343"/>
      <c r="E92" s="343"/>
      <c r="F92" s="343"/>
      <c r="G92" s="343"/>
      <c r="H92" s="343"/>
      <c r="I92" s="343"/>
    </row>
    <row r="93" spans="1:9" ht="24">
      <c r="A93" s="331"/>
      <c r="B93" s="343"/>
      <c r="C93" s="343"/>
      <c r="D93" s="343"/>
      <c r="E93" s="343"/>
      <c r="F93" s="343"/>
      <c r="G93" s="343"/>
      <c r="H93" s="343"/>
      <c r="I93" s="343"/>
    </row>
    <row r="94" spans="1:9" ht="24">
      <c r="A94" s="331" t="s">
        <v>128</v>
      </c>
      <c r="B94" s="501" t="s">
        <v>301</v>
      </c>
      <c r="C94" s="502"/>
      <c r="D94" s="502"/>
      <c r="E94" s="503"/>
      <c r="F94" s="501" t="s">
        <v>137</v>
      </c>
      <c r="G94" s="502"/>
      <c r="H94" s="502"/>
      <c r="I94" s="503"/>
    </row>
    <row r="95" spans="1:9" ht="24">
      <c r="A95" s="331"/>
      <c r="B95" s="336"/>
      <c r="C95" s="337"/>
      <c r="D95" s="337"/>
      <c r="E95" s="338"/>
      <c r="F95" s="337"/>
      <c r="G95" s="337"/>
      <c r="H95" s="337"/>
      <c r="I95" s="339"/>
    </row>
    <row r="96" spans="1:9" ht="24">
      <c r="A96" s="331"/>
      <c r="B96" s="336"/>
      <c r="C96" s="337"/>
      <c r="D96" s="337"/>
      <c r="E96" s="338"/>
      <c r="F96" s="337" t="s">
        <v>62</v>
      </c>
      <c r="G96" s="551">
        <v>14122736185</v>
      </c>
      <c r="H96" s="551"/>
      <c r="I96" s="339"/>
    </row>
    <row r="97" spans="1:9" ht="24">
      <c r="A97" s="331"/>
      <c r="B97" s="488" t="s">
        <v>61</v>
      </c>
      <c r="C97" s="489"/>
      <c r="D97" s="489"/>
      <c r="E97" s="490"/>
      <c r="F97" s="337"/>
      <c r="G97" s="337"/>
      <c r="H97" s="337"/>
      <c r="I97" s="339"/>
    </row>
    <row r="98" spans="1:9" ht="24">
      <c r="A98" s="331"/>
      <c r="B98" s="340"/>
      <c r="C98" s="341"/>
      <c r="D98" s="341"/>
      <c r="E98" s="342"/>
      <c r="F98" s="341"/>
      <c r="G98" s="341"/>
      <c r="H98" s="341"/>
      <c r="I98" s="342"/>
    </row>
    <row r="99" spans="1:9" ht="24">
      <c r="A99" s="331"/>
      <c r="B99" s="377" t="s">
        <v>456</v>
      </c>
      <c r="C99" s="361"/>
      <c r="D99" s="361"/>
      <c r="E99" s="361"/>
      <c r="F99" s="361"/>
      <c r="G99" s="362"/>
      <c r="H99" s="555">
        <v>23235803.63</v>
      </c>
      <c r="I99" s="556"/>
    </row>
    <row r="100" spans="1:9" ht="24">
      <c r="A100" s="331"/>
      <c r="B100" s="336" t="s">
        <v>426</v>
      </c>
      <c r="C100" s="343"/>
      <c r="D100" s="343"/>
      <c r="E100" s="343"/>
      <c r="F100" s="343"/>
      <c r="G100" s="339"/>
      <c r="H100" s="504" t="s">
        <v>6</v>
      </c>
      <c r="I100" s="505"/>
    </row>
    <row r="101" spans="1:9" ht="24">
      <c r="A101" s="331"/>
      <c r="B101" s="471" t="s">
        <v>107</v>
      </c>
      <c r="C101" s="472"/>
      <c r="D101" s="471" t="s">
        <v>108</v>
      </c>
      <c r="E101" s="472"/>
      <c r="F101" s="471" t="s">
        <v>65</v>
      </c>
      <c r="G101" s="472"/>
      <c r="H101" s="521"/>
      <c r="I101" s="522"/>
    </row>
    <row r="102" spans="1:9" ht="24">
      <c r="A102" s="331"/>
      <c r="B102" s="518"/>
      <c r="C102" s="519"/>
      <c r="D102" s="519"/>
      <c r="E102" s="520"/>
      <c r="F102" s="521">
        <v>67</v>
      </c>
      <c r="G102" s="522"/>
      <c r="H102" s="547"/>
      <c r="I102" s="548"/>
    </row>
    <row r="103" spans="1:9" ht="24">
      <c r="A103" s="331"/>
      <c r="B103" s="475"/>
      <c r="C103" s="476"/>
      <c r="D103" s="491"/>
      <c r="E103" s="492"/>
      <c r="F103" s="521"/>
      <c r="G103" s="522"/>
      <c r="H103" s="549"/>
      <c r="I103" s="550"/>
    </row>
    <row r="104" spans="1:9" ht="24">
      <c r="A104" s="331"/>
      <c r="B104" s="475"/>
      <c r="C104" s="476"/>
      <c r="D104" s="491"/>
      <c r="E104" s="492"/>
      <c r="F104" s="516">
        <f>SUM(F102:F103)</f>
        <v>67</v>
      </c>
      <c r="G104" s="517"/>
      <c r="H104" s="506">
        <f>F104</f>
        <v>67</v>
      </c>
      <c r="I104" s="507"/>
    </row>
    <row r="105" spans="1:9" ht="24">
      <c r="A105" s="331"/>
      <c r="B105" s="336" t="s">
        <v>427</v>
      </c>
      <c r="C105" s="363" t="s">
        <v>126</v>
      </c>
      <c r="D105" s="343"/>
      <c r="E105" s="343"/>
      <c r="F105" s="343"/>
      <c r="G105" s="339"/>
      <c r="H105" s="508"/>
      <c r="I105" s="509"/>
    </row>
    <row r="106" spans="1:9" ht="24">
      <c r="A106" s="331"/>
      <c r="B106" s="471" t="s">
        <v>63</v>
      </c>
      <c r="C106" s="472"/>
      <c r="D106" s="471" t="s">
        <v>64</v>
      </c>
      <c r="E106" s="472"/>
      <c r="F106" s="471" t="s">
        <v>65</v>
      </c>
      <c r="G106" s="472"/>
      <c r="H106" s="510"/>
      <c r="I106" s="511"/>
    </row>
    <row r="107" spans="1:9" ht="24">
      <c r="A107" s="331"/>
      <c r="B107" s="477" t="s">
        <v>411</v>
      </c>
      <c r="C107" s="478"/>
      <c r="D107" s="471">
        <v>21159658</v>
      </c>
      <c r="E107" s="472"/>
      <c r="F107" s="473">
        <v>1841.4</v>
      </c>
      <c r="G107" s="474"/>
      <c r="H107" s="510" t="s">
        <v>415</v>
      </c>
      <c r="I107" s="511"/>
    </row>
    <row r="108" spans="1:9" ht="24">
      <c r="A108" s="331"/>
      <c r="B108" s="477">
        <v>22180</v>
      </c>
      <c r="C108" s="478"/>
      <c r="D108" s="471">
        <v>22945510</v>
      </c>
      <c r="E108" s="472"/>
      <c r="F108" s="473">
        <v>495</v>
      </c>
      <c r="G108" s="474"/>
      <c r="H108" s="558" t="s">
        <v>458</v>
      </c>
      <c r="I108" s="559"/>
    </row>
    <row r="109" spans="1:9" ht="24">
      <c r="A109" s="331"/>
      <c r="B109" s="477">
        <v>22247</v>
      </c>
      <c r="C109" s="478"/>
      <c r="D109" s="471">
        <v>22945588</v>
      </c>
      <c r="E109" s="472"/>
      <c r="F109" s="473">
        <v>17600</v>
      </c>
      <c r="G109" s="474"/>
      <c r="H109" s="558" t="s">
        <v>459</v>
      </c>
      <c r="I109" s="559"/>
    </row>
    <row r="110" spans="1:9" ht="24">
      <c r="A110" s="331"/>
      <c r="B110" s="477">
        <v>22248</v>
      </c>
      <c r="C110" s="478"/>
      <c r="D110" s="471">
        <v>22945593</v>
      </c>
      <c r="E110" s="472"/>
      <c r="F110" s="473">
        <v>24440</v>
      </c>
      <c r="G110" s="474"/>
      <c r="H110" s="558" t="s">
        <v>460</v>
      </c>
      <c r="I110" s="559"/>
    </row>
    <row r="111" spans="1:9" ht="24">
      <c r="A111" s="331"/>
      <c r="B111" s="477">
        <v>22248</v>
      </c>
      <c r="C111" s="478"/>
      <c r="D111" s="471">
        <v>22945594</v>
      </c>
      <c r="E111" s="472"/>
      <c r="F111" s="473">
        <v>7800</v>
      </c>
      <c r="G111" s="474"/>
      <c r="H111" s="558" t="s">
        <v>461</v>
      </c>
      <c r="I111" s="559"/>
    </row>
    <row r="112" spans="1:9" ht="24">
      <c r="A112" s="331"/>
      <c r="B112" s="477">
        <v>22248</v>
      </c>
      <c r="C112" s="478"/>
      <c r="D112" s="471">
        <v>22945602</v>
      </c>
      <c r="E112" s="472"/>
      <c r="F112" s="473">
        <v>7695.28</v>
      </c>
      <c r="G112" s="474"/>
      <c r="H112" s="558" t="s">
        <v>462</v>
      </c>
      <c r="I112" s="559"/>
    </row>
    <row r="113" spans="1:9" ht="24">
      <c r="A113" s="331"/>
      <c r="B113" s="477">
        <v>22248</v>
      </c>
      <c r="C113" s="478"/>
      <c r="D113" s="471">
        <v>22945598</v>
      </c>
      <c r="E113" s="472"/>
      <c r="F113" s="473">
        <v>7507.18</v>
      </c>
      <c r="G113" s="474"/>
      <c r="H113" s="558" t="s">
        <v>463</v>
      </c>
      <c r="I113" s="559"/>
    </row>
    <row r="114" spans="1:9" ht="24">
      <c r="A114" s="331"/>
      <c r="B114" s="477">
        <v>22248</v>
      </c>
      <c r="C114" s="478"/>
      <c r="D114" s="471">
        <v>22945601</v>
      </c>
      <c r="E114" s="472"/>
      <c r="F114" s="473">
        <v>19714.02</v>
      </c>
      <c r="G114" s="474"/>
      <c r="H114" s="479" t="s">
        <v>464</v>
      </c>
      <c r="I114" s="476"/>
    </row>
    <row r="115" spans="1:9" ht="24">
      <c r="A115" s="331"/>
      <c r="B115" s="477"/>
      <c r="C115" s="478"/>
      <c r="D115" s="471"/>
      <c r="E115" s="472"/>
      <c r="F115" s="473"/>
      <c r="G115" s="474"/>
      <c r="H115" s="475"/>
      <c r="I115" s="476"/>
    </row>
    <row r="116" spans="1:9" ht="24">
      <c r="A116" s="331"/>
      <c r="B116" s="477"/>
      <c r="C116" s="478"/>
      <c r="D116" s="471"/>
      <c r="E116" s="472"/>
      <c r="F116" s="473"/>
      <c r="G116" s="474"/>
      <c r="H116" s="475"/>
      <c r="I116" s="476"/>
    </row>
    <row r="117" spans="1:9" ht="24">
      <c r="A117" s="331"/>
      <c r="B117" s="477"/>
      <c r="C117" s="478"/>
      <c r="D117" s="471"/>
      <c r="E117" s="472"/>
      <c r="F117" s="473"/>
      <c r="G117" s="474"/>
      <c r="H117" s="475"/>
      <c r="I117" s="476"/>
    </row>
    <row r="118" spans="1:9" ht="24">
      <c r="A118" s="331"/>
      <c r="B118" s="477"/>
      <c r="C118" s="478"/>
      <c r="D118" s="471"/>
      <c r="E118" s="472"/>
      <c r="F118" s="473"/>
      <c r="G118" s="474"/>
      <c r="H118" s="475"/>
      <c r="I118" s="476"/>
    </row>
    <row r="119" spans="1:9" ht="24">
      <c r="A119" s="331"/>
      <c r="B119" s="477"/>
      <c r="C119" s="478"/>
      <c r="D119" s="493"/>
      <c r="E119" s="494"/>
      <c r="F119" s="512">
        <f>SUM(F107:F118)</f>
        <v>87092.88</v>
      </c>
      <c r="G119" s="513"/>
      <c r="H119" s="514"/>
      <c r="I119" s="515"/>
    </row>
    <row r="120" spans="1:9" ht="24">
      <c r="A120" s="331"/>
      <c r="B120" s="364"/>
      <c r="C120" s="365"/>
      <c r="D120" s="366"/>
      <c r="E120" s="366"/>
      <c r="F120" s="367"/>
      <c r="G120" s="368"/>
      <c r="H120" s="369"/>
      <c r="I120" s="370"/>
    </row>
    <row r="121" spans="1:9" ht="24">
      <c r="A121" s="331"/>
      <c r="B121" s="336" t="s">
        <v>428</v>
      </c>
      <c r="C121" s="343"/>
      <c r="D121" s="343"/>
      <c r="E121" s="343"/>
      <c r="F121" s="343"/>
      <c r="G121" s="339"/>
      <c r="H121" s="499"/>
      <c r="I121" s="500"/>
    </row>
    <row r="122" spans="1:9" ht="24">
      <c r="A122" s="331"/>
      <c r="B122" s="336" t="s">
        <v>429</v>
      </c>
      <c r="C122" s="343"/>
      <c r="D122" s="343"/>
      <c r="E122" s="343"/>
      <c r="F122" s="343"/>
      <c r="G122" s="339"/>
      <c r="H122" s="482"/>
      <c r="I122" s="483"/>
    </row>
    <row r="123" spans="1:9" ht="24">
      <c r="A123" s="331"/>
      <c r="B123" s="352"/>
      <c r="C123" s="343"/>
      <c r="D123" s="343"/>
      <c r="E123" s="343"/>
      <c r="F123" s="343"/>
      <c r="G123" s="339"/>
      <c r="H123" s="353"/>
      <c r="I123" s="371"/>
    </row>
    <row r="124" spans="1:11" ht="24">
      <c r="A124" s="331"/>
      <c r="B124" s="378" t="s">
        <v>457</v>
      </c>
      <c r="C124" s="343"/>
      <c r="D124" s="343"/>
      <c r="E124" s="343"/>
      <c r="F124" s="343"/>
      <c r="G124" s="339"/>
      <c r="H124" s="553">
        <f>H99+H104-F119</f>
        <v>23148777.75</v>
      </c>
      <c r="I124" s="554"/>
      <c r="K124" s="354">
        <f>23148777.75-H124</f>
        <v>0</v>
      </c>
    </row>
    <row r="125" spans="1:11" ht="24">
      <c r="A125" s="331"/>
      <c r="B125" s="336" t="s">
        <v>66</v>
      </c>
      <c r="C125" s="337"/>
      <c r="D125" s="337"/>
      <c r="E125" s="337"/>
      <c r="F125" s="337"/>
      <c r="G125" s="337" t="s">
        <v>67</v>
      </c>
      <c r="H125" s="337"/>
      <c r="I125" s="356"/>
      <c r="K125" s="372"/>
    </row>
    <row r="126" spans="1:9" ht="24">
      <c r="A126" s="331"/>
      <c r="B126" s="336"/>
      <c r="C126" s="337"/>
      <c r="D126" s="337"/>
      <c r="E126" s="337"/>
      <c r="F126" s="337"/>
      <c r="G126" s="337"/>
      <c r="H126" s="337"/>
      <c r="I126" s="338"/>
    </row>
    <row r="127" spans="1:11" ht="24">
      <c r="A127" s="331"/>
      <c r="B127" s="336" t="s">
        <v>68</v>
      </c>
      <c r="C127" s="337"/>
      <c r="D127" s="337"/>
      <c r="E127" s="337"/>
      <c r="F127" s="337"/>
      <c r="G127" s="337" t="s">
        <v>68</v>
      </c>
      <c r="H127" s="337"/>
      <c r="I127" s="338"/>
      <c r="K127" s="372"/>
    </row>
    <row r="128" spans="1:9" ht="24">
      <c r="A128" s="331"/>
      <c r="B128" s="357" t="s">
        <v>129</v>
      </c>
      <c r="C128" s="358"/>
      <c r="D128" s="358"/>
      <c r="E128" s="358"/>
      <c r="F128" s="337"/>
      <c r="G128" s="337" t="s">
        <v>398</v>
      </c>
      <c r="H128" s="337"/>
      <c r="I128" s="338"/>
    </row>
    <row r="129" spans="1:9" ht="24">
      <c r="A129" s="331"/>
      <c r="B129" s="357" t="s">
        <v>257</v>
      </c>
      <c r="C129" s="358"/>
      <c r="D129" s="358"/>
      <c r="E129" s="358"/>
      <c r="F129" s="551" t="s">
        <v>399</v>
      </c>
      <c r="G129" s="551"/>
      <c r="H129" s="551"/>
      <c r="I129" s="552"/>
    </row>
    <row r="130" spans="1:9" ht="24">
      <c r="A130" s="331"/>
      <c r="B130" s="379" t="s">
        <v>465</v>
      </c>
      <c r="C130" s="341"/>
      <c r="D130" s="341"/>
      <c r="E130" s="341"/>
      <c r="F130" s="341"/>
      <c r="G130" s="380" t="s">
        <v>466</v>
      </c>
      <c r="H130" s="341"/>
      <c r="I130" s="342"/>
    </row>
    <row r="131" spans="1:9" ht="24">
      <c r="A131" s="331"/>
      <c r="B131" s="501" t="s">
        <v>301</v>
      </c>
      <c r="C131" s="502"/>
      <c r="D131" s="502"/>
      <c r="E131" s="503"/>
      <c r="F131" s="501" t="s">
        <v>137</v>
      </c>
      <c r="G131" s="502"/>
      <c r="H131" s="502"/>
      <c r="I131" s="503"/>
    </row>
    <row r="132" spans="1:9" ht="24">
      <c r="A132" s="331" t="s">
        <v>128</v>
      </c>
      <c r="B132" s="336"/>
      <c r="C132" s="337"/>
      <c r="D132" s="337"/>
      <c r="E132" s="338"/>
      <c r="F132" s="337"/>
      <c r="G132" s="337"/>
      <c r="H132" s="337"/>
      <c r="I132" s="339"/>
    </row>
    <row r="133" spans="1:9" ht="24">
      <c r="A133" s="331"/>
      <c r="B133" s="336"/>
      <c r="C133" s="337"/>
      <c r="D133" s="337"/>
      <c r="E133" s="338"/>
      <c r="F133" s="337" t="s">
        <v>62</v>
      </c>
      <c r="G133" s="489" t="s">
        <v>414</v>
      </c>
      <c r="H133" s="489"/>
      <c r="I133" s="339"/>
    </row>
    <row r="134" spans="1:9" ht="24">
      <c r="A134" s="331"/>
      <c r="B134" s="488" t="s">
        <v>61</v>
      </c>
      <c r="C134" s="489"/>
      <c r="D134" s="489"/>
      <c r="E134" s="490"/>
      <c r="F134" s="337"/>
      <c r="G134" s="337"/>
      <c r="H134" s="337"/>
      <c r="I134" s="339"/>
    </row>
    <row r="135" spans="1:9" ht="24">
      <c r="A135" s="331"/>
      <c r="B135" s="340"/>
      <c r="C135" s="341"/>
      <c r="D135" s="341"/>
      <c r="E135" s="342"/>
      <c r="F135" s="341"/>
      <c r="G135" s="341"/>
      <c r="H135" s="341"/>
      <c r="I135" s="342"/>
    </row>
    <row r="136" spans="1:9" ht="24">
      <c r="A136" s="331"/>
      <c r="B136" s="336" t="s">
        <v>433</v>
      </c>
      <c r="C136" s="343"/>
      <c r="D136" s="343"/>
      <c r="E136" s="343"/>
      <c r="F136" s="343"/>
      <c r="G136" s="339"/>
      <c r="H136" s="555">
        <v>19310900.39</v>
      </c>
      <c r="I136" s="556"/>
    </row>
    <row r="137" spans="1:9" ht="24">
      <c r="A137" s="331"/>
      <c r="B137" s="336" t="s">
        <v>426</v>
      </c>
      <c r="C137" s="343"/>
      <c r="D137" s="343"/>
      <c r="E137" s="343"/>
      <c r="F137" s="343"/>
      <c r="G137" s="339"/>
      <c r="H137" s="504" t="s">
        <v>6</v>
      </c>
      <c r="I137" s="505"/>
    </row>
    <row r="138" spans="1:9" ht="24">
      <c r="A138" s="331"/>
      <c r="B138" s="471" t="s">
        <v>107</v>
      </c>
      <c r="C138" s="472"/>
      <c r="D138" s="471" t="s">
        <v>108</v>
      </c>
      <c r="E138" s="472"/>
      <c r="F138" s="471" t="s">
        <v>65</v>
      </c>
      <c r="G138" s="472"/>
      <c r="H138" s="521"/>
      <c r="I138" s="522"/>
    </row>
    <row r="139" spans="1:9" ht="24">
      <c r="A139" s="331"/>
      <c r="B139" s="518"/>
      <c r="C139" s="519"/>
      <c r="D139" s="519"/>
      <c r="E139" s="520"/>
      <c r="F139" s="521"/>
      <c r="G139" s="522"/>
      <c r="H139" s="547"/>
      <c r="I139" s="548"/>
    </row>
    <row r="140" spans="1:9" ht="24">
      <c r="A140" s="331"/>
      <c r="B140" s="475"/>
      <c r="C140" s="476"/>
      <c r="D140" s="491"/>
      <c r="E140" s="492"/>
      <c r="F140" s="521"/>
      <c r="G140" s="522"/>
      <c r="H140" s="549"/>
      <c r="I140" s="550"/>
    </row>
    <row r="141" spans="1:9" ht="24">
      <c r="A141" s="331"/>
      <c r="B141" s="475"/>
      <c r="C141" s="476"/>
      <c r="D141" s="491"/>
      <c r="E141" s="492"/>
      <c r="F141" s="516">
        <f>SUM(F139:F140)</f>
        <v>0</v>
      </c>
      <c r="G141" s="517"/>
      <c r="H141" s="506">
        <f>F141</f>
        <v>0</v>
      </c>
      <c r="I141" s="507"/>
    </row>
    <row r="142" spans="1:9" ht="24">
      <c r="A142" s="331"/>
      <c r="B142" s="336" t="s">
        <v>427</v>
      </c>
      <c r="C142" s="363" t="s">
        <v>126</v>
      </c>
      <c r="D142" s="343"/>
      <c r="E142" s="343"/>
      <c r="F142" s="343"/>
      <c r="G142" s="339"/>
      <c r="H142" s="508"/>
      <c r="I142" s="509"/>
    </row>
    <row r="143" spans="1:9" ht="24">
      <c r="A143" s="331"/>
      <c r="B143" s="471" t="s">
        <v>63</v>
      </c>
      <c r="C143" s="472"/>
      <c r="D143" s="471" t="s">
        <v>64</v>
      </c>
      <c r="E143" s="472"/>
      <c r="F143" s="471" t="s">
        <v>65</v>
      </c>
      <c r="G143" s="472"/>
      <c r="H143" s="510"/>
      <c r="I143" s="511"/>
    </row>
    <row r="144" spans="1:9" ht="24">
      <c r="A144" s="331"/>
      <c r="B144" s="477">
        <v>22088</v>
      </c>
      <c r="C144" s="472"/>
      <c r="D144" s="471">
        <v>22945291</v>
      </c>
      <c r="E144" s="472"/>
      <c r="F144" s="471">
        <v>6265.89</v>
      </c>
      <c r="G144" s="472"/>
      <c r="H144" s="475"/>
      <c r="I144" s="476"/>
    </row>
    <row r="145" spans="1:9" ht="24">
      <c r="A145" s="331"/>
      <c r="B145" s="471"/>
      <c r="C145" s="472"/>
      <c r="D145" s="471"/>
      <c r="E145" s="472"/>
      <c r="F145" s="471"/>
      <c r="G145" s="472"/>
      <c r="H145" s="475"/>
      <c r="I145" s="476"/>
    </row>
    <row r="146" spans="1:9" ht="24">
      <c r="A146" s="331"/>
      <c r="B146" s="471"/>
      <c r="C146" s="472"/>
      <c r="D146" s="471"/>
      <c r="E146" s="472"/>
      <c r="F146" s="471"/>
      <c r="G146" s="472"/>
      <c r="H146" s="475"/>
      <c r="I146" s="476"/>
    </row>
    <row r="147" spans="1:9" ht="24">
      <c r="A147" s="331"/>
      <c r="B147" s="471"/>
      <c r="C147" s="472"/>
      <c r="D147" s="471"/>
      <c r="E147" s="472"/>
      <c r="F147" s="471"/>
      <c r="G147" s="472"/>
      <c r="H147" s="475"/>
      <c r="I147" s="476"/>
    </row>
    <row r="148" spans="1:9" ht="24">
      <c r="A148" s="331"/>
      <c r="B148" s="471"/>
      <c r="C148" s="472"/>
      <c r="D148" s="471"/>
      <c r="E148" s="472"/>
      <c r="F148" s="471"/>
      <c r="G148" s="472"/>
      <c r="H148" s="475"/>
      <c r="I148" s="476"/>
    </row>
    <row r="149" spans="1:9" ht="24">
      <c r="A149" s="331"/>
      <c r="B149" s="471"/>
      <c r="C149" s="472"/>
      <c r="D149" s="471"/>
      <c r="E149" s="472"/>
      <c r="F149" s="480"/>
      <c r="G149" s="481"/>
      <c r="H149" s="475"/>
      <c r="I149" s="476"/>
    </row>
    <row r="150" spans="1:9" ht="24">
      <c r="A150" s="331"/>
      <c r="B150" s="471"/>
      <c r="C150" s="472"/>
      <c r="D150" s="471"/>
      <c r="E150" s="472"/>
      <c r="F150" s="471"/>
      <c r="G150" s="472"/>
      <c r="H150" s="475"/>
      <c r="I150" s="476"/>
    </row>
    <row r="151" spans="1:9" ht="24">
      <c r="A151" s="331"/>
      <c r="B151" s="471"/>
      <c r="C151" s="472"/>
      <c r="D151" s="471"/>
      <c r="E151" s="472"/>
      <c r="F151" s="471"/>
      <c r="G151" s="472"/>
      <c r="H151" s="475"/>
      <c r="I151" s="476"/>
    </row>
    <row r="152" spans="1:9" ht="24">
      <c r="A152" s="331"/>
      <c r="B152" s="471"/>
      <c r="C152" s="472"/>
      <c r="D152" s="471"/>
      <c r="E152" s="472"/>
      <c r="F152" s="471"/>
      <c r="G152" s="472"/>
      <c r="H152" s="475"/>
      <c r="I152" s="476"/>
    </row>
    <row r="153" spans="1:9" ht="24">
      <c r="A153" s="331"/>
      <c r="B153" s="477"/>
      <c r="C153" s="478"/>
      <c r="D153" s="471"/>
      <c r="E153" s="472"/>
      <c r="F153" s="473"/>
      <c r="G153" s="474"/>
      <c r="H153" s="475"/>
      <c r="I153" s="476"/>
    </row>
    <row r="154" spans="1:9" ht="24">
      <c r="A154" s="331"/>
      <c r="B154" s="477"/>
      <c r="C154" s="478"/>
      <c r="D154" s="471"/>
      <c r="E154" s="472"/>
      <c r="F154" s="473"/>
      <c r="G154" s="474"/>
      <c r="H154" s="475"/>
      <c r="I154" s="476"/>
    </row>
    <row r="155" spans="1:11" ht="24">
      <c r="A155" s="331"/>
      <c r="B155" s="477"/>
      <c r="C155" s="478"/>
      <c r="D155" s="471"/>
      <c r="E155" s="472"/>
      <c r="F155" s="473"/>
      <c r="G155" s="474"/>
      <c r="H155" s="475"/>
      <c r="I155" s="476"/>
      <c r="K155" s="354">
        <f>H138-23883131.85</f>
        <v>-23883131.85</v>
      </c>
    </row>
    <row r="156" spans="1:11" ht="24">
      <c r="A156" s="331"/>
      <c r="B156" s="477"/>
      <c r="C156" s="478"/>
      <c r="D156" s="493"/>
      <c r="E156" s="494"/>
      <c r="F156" s="512">
        <f>SUM(F153:F155)</f>
        <v>0</v>
      </c>
      <c r="G156" s="513"/>
      <c r="H156" s="514"/>
      <c r="I156" s="515"/>
      <c r="K156" s="354"/>
    </row>
    <row r="157" spans="1:9" ht="24">
      <c r="A157" s="331"/>
      <c r="B157" s="364"/>
      <c r="C157" s="365"/>
      <c r="D157" s="366"/>
      <c r="E157" s="366"/>
      <c r="F157" s="367"/>
      <c r="G157" s="368"/>
      <c r="H157" s="369"/>
      <c r="I157" s="370"/>
    </row>
    <row r="158" spans="1:9" ht="24">
      <c r="A158" s="331"/>
      <c r="B158" s="336" t="s">
        <v>428</v>
      </c>
      <c r="C158" s="343"/>
      <c r="D158" s="343"/>
      <c r="E158" s="343"/>
      <c r="F158" s="343"/>
      <c r="G158" s="339"/>
      <c r="H158" s="499"/>
      <c r="I158" s="500"/>
    </row>
    <row r="159" spans="1:9" ht="24">
      <c r="A159" s="331"/>
      <c r="B159" s="336" t="s">
        <v>429</v>
      </c>
      <c r="C159" s="343"/>
      <c r="D159" s="343"/>
      <c r="E159" s="343"/>
      <c r="F159" s="343"/>
      <c r="G159" s="339"/>
      <c r="H159" s="482"/>
      <c r="I159" s="483"/>
    </row>
    <row r="160" spans="1:9" ht="24">
      <c r="A160" s="331"/>
      <c r="B160" s="352"/>
      <c r="C160" s="343"/>
      <c r="D160" s="343"/>
      <c r="E160" s="343"/>
      <c r="F160" s="343"/>
      <c r="G160" s="339"/>
      <c r="H160" s="353"/>
      <c r="I160" s="371"/>
    </row>
    <row r="161" spans="1:9" ht="24">
      <c r="A161" s="331"/>
      <c r="B161" s="336" t="s">
        <v>434</v>
      </c>
      <c r="C161" s="343"/>
      <c r="D161" s="343"/>
      <c r="E161" s="343"/>
      <c r="F161" s="343"/>
      <c r="G161" s="339"/>
      <c r="H161" s="553">
        <f>H136+H141-F156</f>
        <v>19310900.39</v>
      </c>
      <c r="I161" s="554"/>
    </row>
    <row r="162" spans="1:11" ht="24">
      <c r="A162" s="331"/>
      <c r="B162" s="336" t="s">
        <v>66</v>
      </c>
      <c r="C162" s="337"/>
      <c r="D162" s="337"/>
      <c r="E162" s="337"/>
      <c r="F162" s="337"/>
      <c r="G162" s="337" t="s">
        <v>67</v>
      </c>
      <c r="H162" s="337"/>
      <c r="I162" s="356"/>
      <c r="K162" s="372">
        <f>'[1]มิ.ย.60'!$J$6-H161</f>
        <v>-21451.400000002235</v>
      </c>
    </row>
    <row r="163" spans="1:9" ht="24">
      <c r="A163" s="331"/>
      <c r="B163" s="336"/>
      <c r="C163" s="337"/>
      <c r="D163" s="337"/>
      <c r="E163" s="337"/>
      <c r="F163" s="337"/>
      <c r="G163" s="337"/>
      <c r="H163" s="337"/>
      <c r="I163" s="338"/>
    </row>
    <row r="164" spans="1:11" ht="24">
      <c r="A164" s="331"/>
      <c r="B164" s="336" t="s">
        <v>68</v>
      </c>
      <c r="C164" s="337"/>
      <c r="D164" s="337"/>
      <c r="E164" s="337"/>
      <c r="F164" s="337"/>
      <c r="G164" s="337" t="s">
        <v>68</v>
      </c>
      <c r="H164" s="337"/>
      <c r="I164" s="338"/>
      <c r="K164" s="372">
        <f>'[1]มิ.ย.60'!$J$6</f>
        <v>19289448.99</v>
      </c>
    </row>
    <row r="165" spans="1:9" ht="24">
      <c r="A165" s="331"/>
      <c r="B165" s="357" t="s">
        <v>129</v>
      </c>
      <c r="C165" s="358"/>
      <c r="D165" s="358"/>
      <c r="E165" s="358"/>
      <c r="F165" s="337"/>
      <c r="G165" s="337" t="s">
        <v>398</v>
      </c>
      <c r="H165" s="337"/>
      <c r="I165" s="338"/>
    </row>
    <row r="166" spans="1:9" ht="24">
      <c r="A166" s="331"/>
      <c r="B166" s="357" t="s">
        <v>257</v>
      </c>
      <c r="C166" s="358"/>
      <c r="D166" s="358"/>
      <c r="E166" s="358"/>
      <c r="F166" s="551" t="s">
        <v>399</v>
      </c>
      <c r="G166" s="551"/>
      <c r="H166" s="551"/>
      <c r="I166" s="552"/>
    </row>
    <row r="167" spans="1:9" ht="24">
      <c r="A167" s="331"/>
      <c r="B167" s="340" t="s">
        <v>412</v>
      </c>
      <c r="C167" s="341"/>
      <c r="D167" s="341"/>
      <c r="E167" s="341"/>
      <c r="F167" s="341"/>
      <c r="G167" s="341" t="s">
        <v>413</v>
      </c>
      <c r="H167" s="341"/>
      <c r="I167" s="342"/>
    </row>
    <row r="168" ht="24">
      <c r="A168" s="331"/>
    </row>
    <row r="169" spans="2:9" ht="23.25">
      <c r="B169" s="333" t="s">
        <v>110</v>
      </c>
      <c r="C169" s="334"/>
      <c r="D169" s="334"/>
      <c r="E169" s="335"/>
      <c r="F169" s="501" t="s">
        <v>142</v>
      </c>
      <c r="G169" s="502"/>
      <c r="H169" s="502"/>
      <c r="I169" s="503"/>
    </row>
    <row r="170" spans="2:9" ht="23.25">
      <c r="B170" s="336"/>
      <c r="C170" s="337"/>
      <c r="D170" s="337"/>
      <c r="E170" s="338"/>
      <c r="F170" s="337"/>
      <c r="G170" s="337"/>
      <c r="H170" s="337"/>
      <c r="I170" s="339"/>
    </row>
    <row r="171" spans="2:9" ht="23.25">
      <c r="B171" s="336"/>
      <c r="C171" s="337"/>
      <c r="D171" s="337"/>
      <c r="E171" s="338"/>
      <c r="F171" s="337" t="s">
        <v>62</v>
      </c>
      <c r="G171" s="337" t="s">
        <v>143</v>
      </c>
      <c r="H171" s="337"/>
      <c r="I171" s="339"/>
    </row>
    <row r="172" spans="2:11" ht="23.25">
      <c r="B172" s="488" t="s">
        <v>61</v>
      </c>
      <c r="C172" s="489"/>
      <c r="D172" s="489"/>
      <c r="E172" s="490"/>
      <c r="F172" s="337"/>
      <c r="G172" s="337"/>
      <c r="H172" s="337"/>
      <c r="I172" s="339"/>
      <c r="K172" s="332">
        <f>4034786.62-3759318.57</f>
        <v>275468.0500000003</v>
      </c>
    </row>
    <row r="173" spans="2:9" ht="23.25">
      <c r="B173" s="340"/>
      <c r="C173" s="341"/>
      <c r="D173" s="341"/>
      <c r="E173" s="342"/>
      <c r="F173" s="341"/>
      <c r="G173" s="341"/>
      <c r="H173" s="341"/>
      <c r="I173" s="342"/>
    </row>
    <row r="174" spans="2:9" ht="23.25">
      <c r="B174" s="336" t="s">
        <v>435</v>
      </c>
      <c r="C174" s="343"/>
      <c r="D174" s="343"/>
      <c r="E174" s="343"/>
      <c r="F174" s="343"/>
      <c r="G174" s="339"/>
      <c r="H174" s="536">
        <v>4154233.57</v>
      </c>
      <c r="I174" s="537"/>
    </row>
    <row r="175" spans="2:9" ht="23.25">
      <c r="B175" s="336" t="s">
        <v>426</v>
      </c>
      <c r="C175" s="343"/>
      <c r="D175" s="343"/>
      <c r="E175" s="343"/>
      <c r="F175" s="343"/>
      <c r="G175" s="339"/>
      <c r="H175" s="504"/>
      <c r="I175" s="505"/>
    </row>
    <row r="176" spans="2:9" ht="23.25">
      <c r="B176" s="498" t="s">
        <v>107</v>
      </c>
      <c r="C176" s="498"/>
      <c r="D176" s="498" t="s">
        <v>108</v>
      </c>
      <c r="E176" s="498"/>
      <c r="F176" s="498" t="s">
        <v>65</v>
      </c>
      <c r="G176" s="498"/>
      <c r="H176" s="533"/>
      <c r="I176" s="534"/>
    </row>
    <row r="177" spans="2:9" ht="23.25">
      <c r="B177" s="497"/>
      <c r="C177" s="496"/>
      <c r="D177" s="496"/>
      <c r="E177" s="496"/>
      <c r="F177" s="495"/>
      <c r="G177" s="495"/>
      <c r="H177" s="538">
        <f>SUM(F177)</f>
        <v>0</v>
      </c>
      <c r="I177" s="528"/>
    </row>
    <row r="178" spans="2:9" ht="23.25">
      <c r="B178" s="496"/>
      <c r="C178" s="496"/>
      <c r="D178" s="497"/>
      <c r="E178" s="496"/>
      <c r="F178" s="495"/>
      <c r="G178" s="495"/>
      <c r="H178" s="538"/>
      <c r="I178" s="528"/>
    </row>
    <row r="179" spans="2:9" ht="23.25">
      <c r="B179" s="496"/>
      <c r="C179" s="496"/>
      <c r="D179" s="497"/>
      <c r="E179" s="497"/>
      <c r="F179" s="495"/>
      <c r="G179" s="495"/>
      <c r="H179" s="538"/>
      <c r="I179" s="528"/>
    </row>
    <row r="180" spans="2:9" ht="23.25">
      <c r="B180" s="336" t="s">
        <v>427</v>
      </c>
      <c r="C180" s="343" t="s">
        <v>126</v>
      </c>
      <c r="D180" s="343"/>
      <c r="E180" s="343"/>
      <c r="F180" s="343"/>
      <c r="G180" s="339"/>
      <c r="H180" s="528"/>
      <c r="I180" s="528"/>
    </row>
    <row r="181" spans="2:9" ht="23.25">
      <c r="B181" s="498" t="s">
        <v>63</v>
      </c>
      <c r="C181" s="498"/>
      <c r="D181" s="498" t="s">
        <v>64</v>
      </c>
      <c r="E181" s="498"/>
      <c r="F181" s="498" t="s">
        <v>65</v>
      </c>
      <c r="G181" s="498"/>
      <c r="H181" s="496"/>
      <c r="I181" s="496"/>
    </row>
    <row r="182" spans="2:9" ht="23.25">
      <c r="B182" s="497">
        <v>20631</v>
      </c>
      <c r="C182" s="496"/>
      <c r="D182" s="497" t="s">
        <v>146</v>
      </c>
      <c r="E182" s="496"/>
      <c r="F182" s="495">
        <v>119446.95</v>
      </c>
      <c r="G182" s="495"/>
      <c r="H182" s="538"/>
      <c r="I182" s="528"/>
    </row>
    <row r="183" spans="2:9" ht="23.25">
      <c r="B183" s="497"/>
      <c r="C183" s="496"/>
      <c r="D183" s="497"/>
      <c r="E183" s="496"/>
      <c r="F183" s="495"/>
      <c r="G183" s="495"/>
      <c r="H183" s="538"/>
      <c r="I183" s="528"/>
    </row>
    <row r="184" spans="2:9" ht="23.25">
      <c r="B184" s="497"/>
      <c r="C184" s="496"/>
      <c r="D184" s="497"/>
      <c r="E184" s="496"/>
      <c r="F184" s="495"/>
      <c r="G184" s="495"/>
      <c r="H184" s="538"/>
      <c r="I184" s="528"/>
    </row>
    <row r="185" spans="2:9" ht="23.25">
      <c r="B185" s="496"/>
      <c r="C185" s="496"/>
      <c r="D185" s="497"/>
      <c r="E185" s="497"/>
      <c r="F185" s="495">
        <f>SUM(F182:F184)</f>
        <v>119446.95</v>
      </c>
      <c r="G185" s="495"/>
      <c r="H185" s="538"/>
      <c r="I185" s="528"/>
    </row>
    <row r="186" spans="2:9" ht="23.25">
      <c r="B186" s="349"/>
      <c r="C186" s="343"/>
      <c r="D186" s="343"/>
      <c r="E186" s="343"/>
      <c r="F186" s="350"/>
      <c r="G186" s="339"/>
      <c r="H186" s="533"/>
      <c r="I186" s="534"/>
    </row>
    <row r="187" spans="2:9" ht="23.25">
      <c r="B187" s="349"/>
      <c r="C187" s="343"/>
      <c r="D187" s="343"/>
      <c r="E187" s="343"/>
      <c r="F187" s="351"/>
      <c r="G187" s="339"/>
      <c r="H187" s="540"/>
      <c r="I187" s="541"/>
    </row>
    <row r="188" spans="2:9" ht="23.25">
      <c r="B188" s="336" t="s">
        <v>428</v>
      </c>
      <c r="C188" s="343"/>
      <c r="D188" s="343"/>
      <c r="E188" s="343"/>
      <c r="F188" s="343"/>
      <c r="G188" s="339"/>
      <c r="H188" s="482"/>
      <c r="I188" s="483"/>
    </row>
    <row r="189" spans="2:9" ht="23.25">
      <c r="B189" s="336" t="s">
        <v>429</v>
      </c>
      <c r="C189" s="343"/>
      <c r="D189" s="343"/>
      <c r="E189" s="343"/>
      <c r="F189" s="343"/>
      <c r="G189" s="339"/>
      <c r="H189" s="482"/>
      <c r="I189" s="483"/>
    </row>
    <row r="190" spans="2:9" ht="23.25">
      <c r="B190" s="352"/>
      <c r="C190" s="343"/>
      <c r="D190" s="343"/>
      <c r="E190" s="343"/>
      <c r="F190" s="343"/>
      <c r="G190" s="339"/>
      <c r="H190" s="535"/>
      <c r="I190" s="483"/>
    </row>
    <row r="191" spans="2:9" ht="23.25">
      <c r="B191" s="336" t="s">
        <v>432</v>
      </c>
      <c r="C191" s="343"/>
      <c r="D191" s="343"/>
      <c r="E191" s="343"/>
      <c r="F191" s="343"/>
      <c r="G191" s="339"/>
      <c r="H191" s="546">
        <f>H174+F179-F185</f>
        <v>4034786.6199999996</v>
      </c>
      <c r="I191" s="487"/>
    </row>
    <row r="192" spans="2:9" ht="23.25">
      <c r="B192" s="340"/>
      <c r="C192" s="341"/>
      <c r="D192" s="341"/>
      <c r="E192" s="341"/>
      <c r="F192" s="343"/>
      <c r="G192" s="342"/>
      <c r="H192" s="484"/>
      <c r="I192" s="485"/>
    </row>
    <row r="193" spans="2:9" ht="23.25">
      <c r="B193" s="336" t="s">
        <v>66</v>
      </c>
      <c r="C193" s="337"/>
      <c r="D193" s="337"/>
      <c r="E193" s="355"/>
      <c r="F193" s="355"/>
      <c r="G193" s="337" t="s">
        <v>67</v>
      </c>
      <c r="H193" s="337"/>
      <c r="I193" s="356"/>
    </row>
    <row r="194" spans="2:9" ht="23.25">
      <c r="B194" s="336"/>
      <c r="C194" s="337"/>
      <c r="D194" s="337"/>
      <c r="E194" s="337"/>
      <c r="F194" s="337"/>
      <c r="G194" s="337"/>
      <c r="H194" s="337"/>
      <c r="I194" s="338"/>
    </row>
    <row r="195" spans="2:9" ht="23.25">
      <c r="B195" s="336" t="s">
        <v>68</v>
      </c>
      <c r="C195" s="337"/>
      <c r="D195" s="337"/>
      <c r="E195" s="337"/>
      <c r="F195" s="337"/>
      <c r="G195" s="337" t="s">
        <v>68</v>
      </c>
      <c r="H195" s="337"/>
      <c r="I195" s="338"/>
    </row>
    <row r="196" spans="2:9" ht="23.25">
      <c r="B196" s="357" t="s">
        <v>129</v>
      </c>
      <c r="C196" s="358"/>
      <c r="D196" s="358"/>
      <c r="E196" s="358"/>
      <c r="F196" s="337"/>
      <c r="G196" s="337" t="s">
        <v>123</v>
      </c>
      <c r="H196" s="337"/>
      <c r="I196" s="338"/>
    </row>
    <row r="197" spans="2:9" ht="23.25">
      <c r="B197" s="357" t="s">
        <v>132</v>
      </c>
      <c r="C197" s="358"/>
      <c r="D197" s="358"/>
      <c r="E197" s="358"/>
      <c r="F197" s="343"/>
      <c r="G197" s="337" t="s">
        <v>139</v>
      </c>
      <c r="H197" s="337"/>
      <c r="I197" s="338"/>
    </row>
    <row r="198" spans="2:9" ht="23.25">
      <c r="B198" s="340" t="s">
        <v>144</v>
      </c>
      <c r="C198" s="341"/>
      <c r="D198" s="341"/>
      <c r="E198" s="341"/>
      <c r="F198" s="341"/>
      <c r="G198" s="341" t="s">
        <v>145</v>
      </c>
      <c r="H198" s="341"/>
      <c r="I198" s="342"/>
    </row>
  </sheetData>
  <sheetProtection/>
  <mergeCells count="357">
    <mergeCell ref="B113:C113"/>
    <mergeCell ref="D113:E113"/>
    <mergeCell ref="B118:C118"/>
    <mergeCell ref="F113:G113"/>
    <mergeCell ref="H113:I113"/>
    <mergeCell ref="F114:G114"/>
    <mergeCell ref="F115:G115"/>
    <mergeCell ref="H118:I118"/>
    <mergeCell ref="D118:E118"/>
    <mergeCell ref="F118:G118"/>
    <mergeCell ref="D155:E155"/>
    <mergeCell ref="F155:G155"/>
    <mergeCell ref="H155:I155"/>
    <mergeCell ref="F153:G153"/>
    <mergeCell ref="H153:I153"/>
    <mergeCell ref="F154:G154"/>
    <mergeCell ref="H154:I154"/>
    <mergeCell ref="D153:E153"/>
    <mergeCell ref="H121:I121"/>
    <mergeCell ref="H124:I124"/>
    <mergeCell ref="F129:I129"/>
    <mergeCell ref="B119:C119"/>
    <mergeCell ref="D119:E119"/>
    <mergeCell ref="F119:G119"/>
    <mergeCell ref="H119:I119"/>
    <mergeCell ref="H112:I112"/>
    <mergeCell ref="F112:G112"/>
    <mergeCell ref="D112:E112"/>
    <mergeCell ref="B112:C112"/>
    <mergeCell ref="H111:I111"/>
    <mergeCell ref="F111:G111"/>
    <mergeCell ref="D111:E111"/>
    <mergeCell ref="B111:C111"/>
    <mergeCell ref="H110:I110"/>
    <mergeCell ref="F110:G110"/>
    <mergeCell ref="D110:E110"/>
    <mergeCell ref="B110:C110"/>
    <mergeCell ref="H109:I109"/>
    <mergeCell ref="F109:G109"/>
    <mergeCell ref="D109:E109"/>
    <mergeCell ref="B109:C109"/>
    <mergeCell ref="H107:I107"/>
    <mergeCell ref="F107:G107"/>
    <mergeCell ref="D107:E107"/>
    <mergeCell ref="B107:C107"/>
    <mergeCell ref="B131:E131"/>
    <mergeCell ref="F131:I131"/>
    <mergeCell ref="H108:I108"/>
    <mergeCell ref="F108:G108"/>
    <mergeCell ref="D108:E108"/>
    <mergeCell ref="B108:C108"/>
    <mergeCell ref="B104:C104"/>
    <mergeCell ref="D104:E104"/>
    <mergeCell ref="F104:G104"/>
    <mergeCell ref="H104:I104"/>
    <mergeCell ref="H105:I105"/>
    <mergeCell ref="B106:C106"/>
    <mergeCell ref="D106:E106"/>
    <mergeCell ref="F106:G106"/>
    <mergeCell ref="H106:I106"/>
    <mergeCell ref="B102:E102"/>
    <mergeCell ref="F102:G102"/>
    <mergeCell ref="H102:I102"/>
    <mergeCell ref="B103:C103"/>
    <mergeCell ref="D103:E103"/>
    <mergeCell ref="F103:G103"/>
    <mergeCell ref="H103:I103"/>
    <mergeCell ref="H99:I99"/>
    <mergeCell ref="H100:I100"/>
    <mergeCell ref="B101:C101"/>
    <mergeCell ref="D101:E101"/>
    <mergeCell ref="F101:G101"/>
    <mergeCell ref="H101:I101"/>
    <mergeCell ref="B94:E94"/>
    <mergeCell ref="F94:I94"/>
    <mergeCell ref="B53:C53"/>
    <mergeCell ref="D54:E54"/>
    <mergeCell ref="D55:E55"/>
    <mergeCell ref="B51:C51"/>
    <mergeCell ref="F51:G51"/>
    <mergeCell ref="H52:I52"/>
    <mergeCell ref="H53:I53"/>
    <mergeCell ref="H54:I54"/>
    <mergeCell ref="D51:E51"/>
    <mergeCell ref="D52:E52"/>
    <mergeCell ref="F60:G60"/>
    <mergeCell ref="B54:C54"/>
    <mergeCell ref="B55:C55"/>
    <mergeCell ref="B50:C50"/>
    <mergeCell ref="D50:E50"/>
    <mergeCell ref="F50:G50"/>
    <mergeCell ref="H50:I50"/>
    <mergeCell ref="B52:C52"/>
    <mergeCell ref="B60:C60"/>
    <mergeCell ref="B58:C58"/>
    <mergeCell ref="B57:C57"/>
    <mergeCell ref="B59:C59"/>
    <mergeCell ref="D57:E57"/>
    <mergeCell ref="D59:E59"/>
    <mergeCell ref="H60:I60"/>
    <mergeCell ref="B56:C56"/>
    <mergeCell ref="H63:I63"/>
    <mergeCell ref="H137:I137"/>
    <mergeCell ref="B138:C138"/>
    <mergeCell ref="D138:E138"/>
    <mergeCell ref="F138:G138"/>
    <mergeCell ref="H136:I136"/>
    <mergeCell ref="H138:I138"/>
    <mergeCell ref="G96:H96"/>
    <mergeCell ref="B97:E97"/>
    <mergeCell ref="G133:H133"/>
    <mergeCell ref="H139:I139"/>
    <mergeCell ref="F140:G140"/>
    <mergeCell ref="H140:I140"/>
    <mergeCell ref="H182:I182"/>
    <mergeCell ref="H181:I181"/>
    <mergeCell ref="H179:I179"/>
    <mergeCell ref="H177:I177"/>
    <mergeCell ref="H174:I174"/>
    <mergeCell ref="F166:I166"/>
    <mergeCell ref="H161:I161"/>
    <mergeCell ref="H183:I183"/>
    <mergeCell ref="H192:I192"/>
    <mergeCell ref="H190:I190"/>
    <mergeCell ref="H188:I188"/>
    <mergeCell ref="H185:I185"/>
    <mergeCell ref="H191:I191"/>
    <mergeCell ref="H186:I186"/>
    <mergeCell ref="H189:I189"/>
    <mergeCell ref="H187:I187"/>
    <mergeCell ref="H184:I184"/>
    <mergeCell ref="H178:I178"/>
    <mergeCell ref="H180:I180"/>
    <mergeCell ref="F52:G52"/>
    <mergeCell ref="F53:G53"/>
    <mergeCell ref="F54:G54"/>
    <mergeCell ref="F55:G55"/>
    <mergeCell ref="H176:I176"/>
    <mergeCell ref="H57:I57"/>
    <mergeCell ref="H56:I56"/>
    <mergeCell ref="F59:G59"/>
    <mergeCell ref="B49:C49"/>
    <mergeCell ref="F49:G49"/>
    <mergeCell ref="H49:I49"/>
    <mergeCell ref="H40:I40"/>
    <mergeCell ref="F45:G45"/>
    <mergeCell ref="B45:C45"/>
    <mergeCell ref="H43:I43"/>
    <mergeCell ref="H42:I42"/>
    <mergeCell ref="B40:C40"/>
    <mergeCell ref="D40:E40"/>
    <mergeCell ref="H13:I13"/>
    <mergeCell ref="F15:G15"/>
    <mergeCell ref="F16:G16"/>
    <mergeCell ref="F17:G17"/>
    <mergeCell ref="H41:I41"/>
    <mergeCell ref="H22:I22"/>
    <mergeCell ref="H23:I23"/>
    <mergeCell ref="F18:G18"/>
    <mergeCell ref="H38:I38"/>
    <mergeCell ref="H39:I39"/>
    <mergeCell ref="H16:I16"/>
    <mergeCell ref="H17:I17"/>
    <mergeCell ref="D16:E16"/>
    <mergeCell ref="B47:C47"/>
    <mergeCell ref="H14:I14"/>
    <mergeCell ref="D41:E41"/>
    <mergeCell ref="D19:E19"/>
    <mergeCell ref="B16:C16"/>
    <mergeCell ref="B17:C17"/>
    <mergeCell ref="F20:G20"/>
    <mergeCell ref="H8:I8"/>
    <mergeCell ref="H9:I9"/>
    <mergeCell ref="B9:C9"/>
    <mergeCell ref="H19:I19"/>
    <mergeCell ref="B10:C10"/>
    <mergeCell ref="H15:I15"/>
    <mergeCell ref="B14:C14"/>
    <mergeCell ref="H10:I10"/>
    <mergeCell ref="H12:I12"/>
    <mergeCell ref="D10:E10"/>
    <mergeCell ref="F12:G12"/>
    <mergeCell ref="D17:E17"/>
    <mergeCell ref="D18:E18"/>
    <mergeCell ref="F19:G19"/>
    <mergeCell ref="B19:C19"/>
    <mergeCell ref="D14:E14"/>
    <mergeCell ref="B2:E2"/>
    <mergeCell ref="F2:I2"/>
    <mergeCell ref="H7:I7"/>
    <mergeCell ref="B5:E5"/>
    <mergeCell ref="F14:G14"/>
    <mergeCell ref="D9:E9"/>
    <mergeCell ref="B12:C12"/>
    <mergeCell ref="F9:G9"/>
    <mergeCell ref="H11:I11"/>
    <mergeCell ref="F10:G10"/>
    <mergeCell ref="F11:G11"/>
    <mergeCell ref="B11:C11"/>
    <mergeCell ref="D11:E11"/>
    <mergeCell ref="D12:E12"/>
    <mergeCell ref="H18:I18"/>
    <mergeCell ref="H26:I26"/>
    <mergeCell ref="H20:I20"/>
    <mergeCell ref="H21:I21"/>
    <mergeCell ref="H25:I25"/>
    <mergeCell ref="D20:E20"/>
    <mergeCell ref="H45:I45"/>
    <mergeCell ref="H51:I51"/>
    <mergeCell ref="D58:E58"/>
    <mergeCell ref="F58:G58"/>
    <mergeCell ref="D53:E53"/>
    <mergeCell ref="F57:G57"/>
    <mergeCell ref="F48:G48"/>
    <mergeCell ref="H47:I47"/>
    <mergeCell ref="F46:G46"/>
    <mergeCell ref="D45:E45"/>
    <mergeCell ref="F41:G41"/>
    <mergeCell ref="H24:I24"/>
    <mergeCell ref="F40:G40"/>
    <mergeCell ref="B37:E37"/>
    <mergeCell ref="F35:I35"/>
    <mergeCell ref="H27:I27"/>
    <mergeCell ref="B35:E35"/>
    <mergeCell ref="B41:C41"/>
    <mergeCell ref="F42:G42"/>
    <mergeCell ref="F43:G43"/>
    <mergeCell ref="F56:G56"/>
    <mergeCell ref="D47:E47"/>
    <mergeCell ref="D42:E42"/>
    <mergeCell ref="H58:I58"/>
    <mergeCell ref="H44:I44"/>
    <mergeCell ref="F47:G47"/>
    <mergeCell ref="D56:E56"/>
    <mergeCell ref="H55:I55"/>
    <mergeCell ref="D141:E141"/>
    <mergeCell ref="F141:G141"/>
    <mergeCell ref="B139:E139"/>
    <mergeCell ref="F139:G139"/>
    <mergeCell ref="H46:I46"/>
    <mergeCell ref="H48:I48"/>
    <mergeCell ref="D48:E48"/>
    <mergeCell ref="H59:I59"/>
    <mergeCell ref="H122:I122"/>
    <mergeCell ref="D60:E60"/>
    <mergeCell ref="H141:I141"/>
    <mergeCell ref="H142:I142"/>
    <mergeCell ref="B143:C143"/>
    <mergeCell ref="H159:I159"/>
    <mergeCell ref="F143:G143"/>
    <mergeCell ref="H143:I143"/>
    <mergeCell ref="F156:G156"/>
    <mergeCell ref="D156:E156"/>
    <mergeCell ref="H156:I156"/>
    <mergeCell ref="B141:C141"/>
    <mergeCell ref="H158:I158"/>
    <mergeCell ref="B178:C178"/>
    <mergeCell ref="D176:E176"/>
    <mergeCell ref="D178:E178"/>
    <mergeCell ref="F176:G176"/>
    <mergeCell ref="F169:I169"/>
    <mergeCell ref="B176:C176"/>
    <mergeCell ref="B172:E172"/>
    <mergeCell ref="B177:C177"/>
    <mergeCell ref="H175:I175"/>
    <mergeCell ref="F177:G177"/>
    <mergeCell ref="B184:C184"/>
    <mergeCell ref="B183:C183"/>
    <mergeCell ref="D182:E182"/>
    <mergeCell ref="F181:G181"/>
    <mergeCell ref="D177:E177"/>
    <mergeCell ref="D181:E181"/>
    <mergeCell ref="F179:G179"/>
    <mergeCell ref="F178:G178"/>
    <mergeCell ref="D179:E179"/>
    <mergeCell ref="B179:C179"/>
    <mergeCell ref="B185:C185"/>
    <mergeCell ref="B182:C182"/>
    <mergeCell ref="B181:C181"/>
    <mergeCell ref="F184:G184"/>
    <mergeCell ref="F185:G185"/>
    <mergeCell ref="D185:E185"/>
    <mergeCell ref="D183:E183"/>
    <mergeCell ref="D184:E184"/>
    <mergeCell ref="F183:G183"/>
    <mergeCell ref="F182:G182"/>
    <mergeCell ref="B156:C156"/>
    <mergeCell ref="B18:C18"/>
    <mergeCell ref="B20:C20"/>
    <mergeCell ref="D143:E143"/>
    <mergeCell ref="B153:C153"/>
    <mergeCell ref="B155:C155"/>
    <mergeCell ref="B43:C43"/>
    <mergeCell ref="D43:E43"/>
    <mergeCell ref="D46:E46"/>
    <mergeCell ref="B48:C48"/>
    <mergeCell ref="B46:C46"/>
    <mergeCell ref="B140:C140"/>
    <mergeCell ref="H61:I61"/>
    <mergeCell ref="H65:I65"/>
    <mergeCell ref="H62:I62"/>
    <mergeCell ref="H64:I64"/>
    <mergeCell ref="B134:E134"/>
    <mergeCell ref="D140:E140"/>
    <mergeCell ref="D49:E49"/>
    <mergeCell ref="B154:C154"/>
    <mergeCell ref="D154:E154"/>
    <mergeCell ref="B150:C150"/>
    <mergeCell ref="B151:C151"/>
    <mergeCell ref="B152:C152"/>
    <mergeCell ref="D150:E150"/>
    <mergeCell ref="D151:E151"/>
    <mergeCell ref="D152:E152"/>
    <mergeCell ref="F150:G150"/>
    <mergeCell ref="F151:G151"/>
    <mergeCell ref="F152:G152"/>
    <mergeCell ref="H150:I150"/>
    <mergeCell ref="H151:I151"/>
    <mergeCell ref="H152:I152"/>
    <mergeCell ref="B144:C144"/>
    <mergeCell ref="B145:C145"/>
    <mergeCell ref="B146:C146"/>
    <mergeCell ref="B147:C147"/>
    <mergeCell ref="B148:C148"/>
    <mergeCell ref="B149:C149"/>
    <mergeCell ref="D144:E144"/>
    <mergeCell ref="D145:E145"/>
    <mergeCell ref="D146:E146"/>
    <mergeCell ref="D147:E147"/>
    <mergeCell ref="D148:E148"/>
    <mergeCell ref="D149:E149"/>
    <mergeCell ref="F148:G148"/>
    <mergeCell ref="H144:I144"/>
    <mergeCell ref="H145:I145"/>
    <mergeCell ref="H146:I146"/>
    <mergeCell ref="H147:I147"/>
    <mergeCell ref="H148:I148"/>
    <mergeCell ref="H115:I115"/>
    <mergeCell ref="H116:I116"/>
    <mergeCell ref="D114:E114"/>
    <mergeCell ref="D115:E115"/>
    <mergeCell ref="H149:I149"/>
    <mergeCell ref="F149:G149"/>
    <mergeCell ref="F144:G144"/>
    <mergeCell ref="F145:G145"/>
    <mergeCell ref="F146:G146"/>
    <mergeCell ref="F147:G147"/>
    <mergeCell ref="D116:E116"/>
    <mergeCell ref="D117:E117"/>
    <mergeCell ref="F117:G117"/>
    <mergeCell ref="H117:I117"/>
    <mergeCell ref="B114:C114"/>
    <mergeCell ref="B115:C115"/>
    <mergeCell ref="B116:C116"/>
    <mergeCell ref="B117:C117"/>
    <mergeCell ref="F116:G116"/>
    <mergeCell ref="H114:I114"/>
  </mergeCells>
  <printOptions/>
  <pageMargins left="0.7" right="0.7" top="0.75" bottom="0.75" header="0.3" footer="0.3"/>
  <pageSetup fitToWidth="0" fitToHeight="1" horizontalDpi="300" verticalDpi="300" orientation="portrait" paperSize="9" scale="1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K4" sqref="K4"/>
    </sheetView>
  </sheetViews>
  <sheetFormatPr defaultColWidth="9.140625" defaultRowHeight="21.75"/>
  <cols>
    <col min="9" max="9" width="6.8515625" style="0" customWidth="1"/>
    <col min="10" max="10" width="18.8515625" style="0" customWidth="1"/>
  </cols>
  <sheetData>
    <row r="1" spans="1:11" ht="26.25">
      <c r="A1" s="560" t="s">
        <v>110</v>
      </c>
      <c r="B1" s="560"/>
      <c r="C1" s="560"/>
      <c r="D1" s="560"/>
      <c r="E1" s="560"/>
      <c r="F1" s="560"/>
      <c r="G1" s="560"/>
      <c r="H1" s="560"/>
      <c r="I1" s="560"/>
      <c r="J1" s="560"/>
      <c r="K1" s="5"/>
    </row>
    <row r="2" spans="1:11" ht="26.25">
      <c r="A2" s="560" t="s">
        <v>116</v>
      </c>
      <c r="B2" s="560"/>
      <c r="C2" s="560"/>
      <c r="D2" s="560"/>
      <c r="E2" s="560"/>
      <c r="F2" s="560"/>
      <c r="G2" s="560"/>
      <c r="H2" s="560"/>
      <c r="I2" s="560"/>
      <c r="J2" s="560"/>
      <c r="K2" s="5"/>
    </row>
    <row r="3" spans="1:11" ht="26.25">
      <c r="A3" s="32"/>
      <c r="B3" s="32"/>
      <c r="C3" s="32"/>
      <c r="D3" s="32"/>
      <c r="E3" s="32"/>
      <c r="F3" s="32"/>
      <c r="G3" s="32"/>
      <c r="H3" s="32"/>
      <c r="I3" s="32"/>
      <c r="J3" s="32"/>
      <c r="K3" s="5"/>
    </row>
    <row r="4" spans="1:11" ht="23.25">
      <c r="A4" s="561" t="s">
        <v>119</v>
      </c>
      <c r="B4" s="561"/>
      <c r="C4" s="561"/>
      <c r="D4" s="561"/>
      <c r="E4" s="561"/>
      <c r="F4" s="561"/>
      <c r="G4" s="561"/>
      <c r="H4" s="561"/>
      <c r="I4" s="561"/>
      <c r="J4" s="561"/>
      <c r="K4" s="5"/>
    </row>
    <row r="5" spans="1:11" ht="23.25">
      <c r="A5" s="33"/>
      <c r="B5" s="33"/>
      <c r="C5" s="33"/>
      <c r="D5" s="33"/>
      <c r="E5" s="33"/>
      <c r="F5" s="33"/>
      <c r="G5" s="33"/>
      <c r="H5" s="33"/>
      <c r="I5" s="33"/>
      <c r="J5" s="33"/>
      <c r="K5" s="5"/>
    </row>
    <row r="6" spans="1:11" ht="23.25">
      <c r="A6" s="6"/>
      <c r="B6" s="6" t="s">
        <v>117</v>
      </c>
      <c r="C6" s="6"/>
      <c r="D6" s="6"/>
      <c r="E6" s="6"/>
      <c r="F6" s="6"/>
      <c r="G6" s="6"/>
      <c r="H6" s="6"/>
      <c r="I6" s="6"/>
      <c r="J6" s="34">
        <v>36228335.53</v>
      </c>
      <c r="K6" s="5"/>
    </row>
    <row r="7" spans="1:11" ht="23.25">
      <c r="A7" s="6"/>
      <c r="B7" s="6" t="s">
        <v>118</v>
      </c>
      <c r="C7" s="6"/>
      <c r="D7" s="6"/>
      <c r="E7" s="6"/>
      <c r="F7" s="6"/>
      <c r="G7" s="6"/>
      <c r="H7" s="6"/>
      <c r="I7" s="6"/>
      <c r="J7" s="34">
        <v>306715.59</v>
      </c>
      <c r="K7" s="5"/>
    </row>
    <row r="8" spans="1:11" ht="23.25">
      <c r="A8" s="6"/>
      <c r="B8" s="6" t="s">
        <v>133</v>
      </c>
      <c r="C8" s="6"/>
      <c r="D8" s="6"/>
      <c r="E8" s="6"/>
      <c r="F8" s="6"/>
      <c r="G8" s="6"/>
      <c r="H8" s="6"/>
      <c r="I8" s="6"/>
      <c r="J8" s="34">
        <v>6705184.33</v>
      </c>
      <c r="K8" s="5"/>
    </row>
    <row r="9" spans="1:11" ht="23.25">
      <c r="A9" s="6"/>
      <c r="B9" s="561" t="s">
        <v>130</v>
      </c>
      <c r="C9" s="561"/>
      <c r="D9" s="561"/>
      <c r="E9" s="561"/>
      <c r="F9" s="561"/>
      <c r="G9" s="561"/>
      <c r="H9" s="561"/>
      <c r="I9" s="6"/>
      <c r="J9" s="34">
        <v>6614003.34</v>
      </c>
      <c r="K9" s="5"/>
    </row>
    <row r="10" spans="1:11" ht="23.25">
      <c r="A10" s="6"/>
      <c r="B10" s="6" t="s">
        <v>134</v>
      </c>
      <c r="C10" s="6"/>
      <c r="D10" s="6"/>
      <c r="E10" s="6"/>
      <c r="F10" s="6"/>
      <c r="G10" s="6"/>
      <c r="H10" s="6"/>
      <c r="I10" s="6"/>
      <c r="J10" s="35">
        <v>3319372.03</v>
      </c>
      <c r="K10" s="5"/>
    </row>
    <row r="11" spans="1:11" ht="24" thickBot="1">
      <c r="A11" s="6"/>
      <c r="B11" s="6"/>
      <c r="C11" s="6"/>
      <c r="D11" s="6"/>
      <c r="E11" s="6"/>
      <c r="F11" s="6"/>
      <c r="G11" s="6"/>
      <c r="H11" s="6"/>
      <c r="I11" s="6"/>
      <c r="J11" s="26">
        <f>SUM(J6:J10)</f>
        <v>53173610.82000001</v>
      </c>
      <c r="K11" s="5"/>
    </row>
    <row r="12" spans="1:11" ht="24" thickTop="1">
      <c r="A12" s="5"/>
      <c r="B12" s="5"/>
      <c r="C12" s="5"/>
      <c r="D12" s="5"/>
      <c r="E12" s="5"/>
      <c r="F12" s="5"/>
      <c r="G12" s="5"/>
      <c r="H12" s="5"/>
      <c r="I12" s="5"/>
      <c r="J12" s="31"/>
      <c r="K12" s="5"/>
    </row>
    <row r="13" spans="1:11" ht="23.25">
      <c r="A13" s="5"/>
      <c r="B13" s="5"/>
      <c r="C13" s="5"/>
      <c r="D13" s="5"/>
      <c r="E13" s="5"/>
      <c r="F13" s="5"/>
      <c r="G13" s="5"/>
      <c r="H13" s="5"/>
      <c r="I13" s="5"/>
      <c r="J13" s="31"/>
      <c r="K13" s="5"/>
    </row>
    <row r="14" spans="1:11" ht="23.25">
      <c r="A14" s="5"/>
      <c r="B14" s="5"/>
      <c r="C14" s="5"/>
      <c r="D14" s="5"/>
      <c r="E14" s="5"/>
      <c r="F14" s="5"/>
      <c r="G14" s="5"/>
      <c r="H14" s="5"/>
      <c r="I14" s="5"/>
      <c r="J14" s="31"/>
      <c r="K14" s="5"/>
    </row>
    <row r="15" spans="1:11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3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23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23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3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23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23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23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23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23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3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23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23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23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23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24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ht="24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ht="24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</sheetData>
  <sheetProtection/>
  <mergeCells count="4">
    <mergeCell ref="A1:J1"/>
    <mergeCell ref="A2:J2"/>
    <mergeCell ref="A4:J4"/>
    <mergeCell ref="B9:H9"/>
  </mergeCells>
  <printOptions verticalCentered="1"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สส</dc:creator>
  <cp:keywords/>
  <dc:description/>
  <cp:lastModifiedBy>Admin</cp:lastModifiedBy>
  <cp:lastPrinted>2017-12-06T04:24:22Z</cp:lastPrinted>
  <dcterms:created xsi:type="dcterms:W3CDTF">2004-02-13T07:55:47Z</dcterms:created>
  <dcterms:modified xsi:type="dcterms:W3CDTF">2017-12-08T04:27:48Z</dcterms:modified>
  <cp:category/>
  <cp:version/>
  <cp:contentType/>
  <cp:contentStatus/>
</cp:coreProperties>
</file>